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stion_Fichiers\1-SPAQuE-GENERAL-TRANSVERSAL\STRATEGIE\R &amp; D et Innovation\RAWFILL - exécution projet\WP T1 - EIF Inventaires\Logistic in Wallonia\"/>
    </mc:Choice>
  </mc:AlternateContent>
  <bookViews>
    <workbookView xWindow="-108" yWindow="-108" windowWidth="19416" windowHeight="10416" activeTab="1"/>
  </bookViews>
  <sheets>
    <sheet name="Cost Simulator" sheetId="1" r:id="rId1"/>
    <sheet name="Railway Undertakings " sheetId="3" r:id="rId2"/>
    <sheet name="Equipment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30" i="1"/>
  <c r="G94" i="1"/>
  <c r="F194" i="1" l="1"/>
  <c r="F174" i="1"/>
  <c r="F147" i="1"/>
  <c r="F126" i="1"/>
  <c r="F154" i="1" l="1"/>
  <c r="F206" i="1" s="1"/>
  <c r="F219" i="1"/>
  <c r="F155" i="1"/>
  <c r="F201" i="1"/>
  <c r="F190" i="1" l="1"/>
  <c r="F191" i="1" s="1"/>
  <c r="F178" i="1"/>
  <c r="F179" i="1" s="1"/>
  <c r="H190" i="1"/>
  <c r="H191" i="1" s="1"/>
  <c r="G190" i="1"/>
  <c r="G191" i="1" s="1"/>
  <c r="F200" i="1" l="1"/>
  <c r="H99" i="1"/>
  <c r="H98" i="1"/>
  <c r="F98" i="1"/>
  <c r="H88" i="1"/>
  <c r="G88" i="1"/>
  <c r="H126" i="1"/>
  <c r="H219" i="1" s="1"/>
  <c r="G126" i="1"/>
  <c r="G200" i="1"/>
  <c r="H200" i="1"/>
  <c r="G201" i="1"/>
  <c r="H201" i="1"/>
  <c r="G202" i="1"/>
  <c r="H202" i="1"/>
  <c r="G147" i="1"/>
  <c r="G148" i="1" s="1"/>
  <c r="G178" i="1" s="1"/>
  <c r="G179" i="1" s="1"/>
  <c r="H147" i="1"/>
  <c r="H148" i="1" s="1"/>
  <c r="H178" i="1" s="1"/>
  <c r="H179" i="1" s="1"/>
  <c r="G163" i="1"/>
  <c r="G164" i="1" s="1"/>
  <c r="H163" i="1"/>
  <c r="H164" i="1" s="1"/>
  <c r="G175" i="1"/>
  <c r="H175" i="1"/>
  <c r="G195" i="1"/>
  <c r="H195" i="1"/>
  <c r="G23" i="1"/>
  <c r="H23" i="1"/>
  <c r="F23" i="1"/>
  <c r="G154" i="1" l="1"/>
  <c r="G206" i="1" s="1"/>
  <c r="G219" i="1"/>
  <c r="G207" i="1"/>
  <c r="G109" i="1"/>
  <c r="G85" i="1"/>
  <c r="G184" i="1"/>
  <c r="G185" i="1" s="1"/>
  <c r="G169" i="1" s="1"/>
  <c r="G155" i="1"/>
  <c r="G156" i="1" s="1"/>
  <c r="G137" i="1" s="1"/>
  <c r="H154" i="1"/>
  <c r="H206" i="1" s="1"/>
  <c r="H207" i="1" s="1"/>
  <c r="G96" i="1" l="1"/>
  <c r="G95" i="1"/>
  <c r="G110" i="1"/>
  <c r="H184" i="1"/>
  <c r="H185" i="1" s="1"/>
  <c r="H169" i="1" s="1"/>
  <c r="H155" i="1"/>
  <c r="H156" i="1" s="1"/>
  <c r="H137" i="1" s="1"/>
  <c r="G61" i="1" l="1"/>
  <c r="G56" i="1" s="1"/>
  <c r="G70" i="1"/>
  <c r="G65" i="1" s="1"/>
  <c r="G198" i="1"/>
  <c r="G108" i="1"/>
  <c r="G170" i="1"/>
  <c r="G138" i="1"/>
  <c r="G40" i="1" l="1"/>
  <c r="H40" i="1"/>
  <c r="F40" i="1"/>
  <c r="G19" i="1"/>
  <c r="G21" i="1"/>
  <c r="H41" i="1" l="1"/>
  <c r="H22" i="1" s="1"/>
  <c r="G41" i="1"/>
  <c r="G22" i="1" s="1"/>
  <c r="H30" i="1"/>
  <c r="H17" i="1" s="1"/>
  <c r="G30" i="1"/>
  <c r="G17" i="1" l="1"/>
  <c r="F195" i="1" l="1"/>
  <c r="F175" i="1"/>
  <c r="F148" i="1"/>
  <c r="F163" i="1"/>
  <c r="F164" i="1" s="1"/>
  <c r="F18" i="1"/>
  <c r="F21" i="1"/>
  <c r="F184" i="1"/>
  <c r="F41" i="1"/>
  <c r="F202" i="1" l="1"/>
  <c r="F207" i="1" s="1"/>
  <c r="F22" i="1"/>
  <c r="F17" i="1"/>
  <c r="F156" i="1" l="1"/>
  <c r="F137" i="1" s="1"/>
  <c r="F185" i="1"/>
  <c r="F169" i="1" s="1"/>
  <c r="F115" i="1" l="1"/>
  <c r="F99" i="1"/>
  <c r="F88" i="1"/>
  <c r="E11" i="2"/>
  <c r="E10" i="2"/>
  <c r="E9" i="2"/>
  <c r="E8" i="2"/>
  <c r="E7" i="2"/>
  <c r="E6" i="2"/>
  <c r="H89" i="1" s="1"/>
  <c r="F89" i="1" l="1"/>
  <c r="H94" i="1"/>
  <c r="H85" i="1"/>
  <c r="F94" i="1"/>
  <c r="F85" i="1"/>
  <c r="H217" i="1" l="1"/>
  <c r="G217" i="1"/>
  <c r="F217" i="1"/>
  <c r="F213" i="1"/>
  <c r="H109" i="1"/>
  <c r="H110" i="1" s="1"/>
  <c r="H19" i="1" s="1"/>
  <c r="H95" i="1"/>
  <c r="H96" i="1"/>
  <c r="F109" i="1"/>
  <c r="F110" i="1" s="1"/>
  <c r="F19" i="1" s="1"/>
  <c r="F95" i="1"/>
  <c r="F138" i="1" s="1"/>
  <c r="G215" i="1"/>
  <c r="H215" i="1"/>
  <c r="H213" i="1"/>
  <c r="F215" i="1"/>
  <c r="G213" i="1"/>
  <c r="F96" i="1"/>
  <c r="H61" i="1" l="1"/>
  <c r="H56" i="1" s="1"/>
  <c r="H70" i="1"/>
  <c r="H65" i="1" s="1"/>
  <c r="H21" i="1" s="1"/>
  <c r="H108" i="1"/>
  <c r="H170" i="1"/>
  <c r="H138" i="1"/>
  <c r="H18" i="1"/>
  <c r="H15" i="1" s="1"/>
  <c r="H198" i="1"/>
  <c r="F198" i="1"/>
  <c r="F108" i="1"/>
  <c r="F170" i="1"/>
  <c r="F223" i="1"/>
  <c r="G223" i="1"/>
  <c r="G226" i="1" s="1"/>
  <c r="G231" i="1" s="1"/>
  <c r="H223" i="1"/>
  <c r="H211" i="1" s="1"/>
  <c r="H228" i="1" l="1"/>
  <c r="H232" i="1" s="1"/>
  <c r="H20" i="1" s="1"/>
  <c r="F211" i="1"/>
  <c r="F228" i="1" s="1"/>
  <c r="F232" i="1" s="1"/>
  <c r="F20" i="1" s="1"/>
  <c r="F15" i="1" s="1"/>
  <c r="F226" i="1"/>
  <c r="F231" i="1" s="1"/>
  <c r="G211" i="1"/>
  <c r="G228" i="1" s="1"/>
  <c r="G232" i="1" s="1"/>
  <c r="G20" i="1" s="1"/>
  <c r="G15" i="1" s="1"/>
  <c r="H226" i="1"/>
  <c r="H231" i="1" s="1"/>
</calcChain>
</file>

<file path=xl/comments1.xml><?xml version="1.0" encoding="utf-8"?>
<comments xmlns="http://schemas.openxmlformats.org/spreadsheetml/2006/main">
  <authors>
    <author>Luc Genot</author>
  </authors>
  <commentList>
    <comment ref="F14" authorId="0" shapeId="0">
      <text>
        <r>
          <rPr>
            <sz val="9"/>
            <color indexed="81"/>
            <rFont val="Tahoma"/>
            <charset val="1"/>
          </rPr>
          <t xml:space="preserve">Standard values enabling a quick evaluation of the door-to-door transport cost. </t>
        </r>
      </text>
    </comment>
    <comment ref="G14" authorId="0" shapeId="0">
      <text>
        <r>
          <rPr>
            <sz val="9"/>
            <color indexed="81"/>
            <rFont val="Tahoma"/>
            <charset val="1"/>
          </rPr>
          <t xml:space="preserve">Simulation 1. Cost parameters specific to the considered situation. The user is free to copy or to replace the standard values by more specific ones. </t>
        </r>
      </text>
    </comment>
    <comment ref="H14" authorId="0" shapeId="0">
      <text>
        <r>
          <rPr>
            <sz val="9"/>
            <color indexed="81"/>
            <rFont val="Tahoma"/>
            <charset val="1"/>
          </rPr>
          <t xml:space="preserve">Simulation 2. Cost parameters specific to the considered situation. The user is free to copy or to replace the standard values by more specific ones. </t>
        </r>
      </text>
    </comment>
    <comment ref="F29" authorId="0" shapeId="0">
      <text>
        <r>
          <rPr>
            <sz val="9"/>
            <color indexed="81"/>
            <rFont val="Tahoma"/>
            <charset val="1"/>
          </rPr>
          <t xml:space="preserve">Standard values enabling a quick evaluation of the door-to-door transport cost. </t>
        </r>
      </text>
    </comment>
    <comment ref="G29" authorId="0" shapeId="0">
      <text>
        <r>
          <rPr>
            <sz val="9"/>
            <color indexed="81"/>
            <rFont val="Tahoma"/>
            <charset val="1"/>
          </rPr>
          <t xml:space="preserve">Simulation 1. Cost parameters specific to the considered situation. The user is free to copy or to replace the standard values by more specific ones. </t>
        </r>
      </text>
    </comment>
    <comment ref="H29" authorId="0" shapeId="0">
      <text>
        <r>
          <rPr>
            <sz val="9"/>
            <color indexed="81"/>
            <rFont val="Tahoma"/>
            <charset val="1"/>
          </rPr>
          <t xml:space="preserve">Simulation 2. Cost parameters specific to the considered situation. The user is free to copy or to replace the standard values by more specific ones. </t>
        </r>
      </text>
    </comment>
    <comment ref="F113" authorId="0" shapeId="0">
      <text>
        <r>
          <rPr>
            <sz val="9"/>
            <color indexed="81"/>
            <rFont val="Tahoma"/>
            <family val="2"/>
          </rPr>
          <t xml:space="preserve">The loading frequency of the wagons might be different from the departure frequency of the trains per week. Indeed, according to the frequency, we might choose to work with 2 sets of wagons for instance. </t>
        </r>
      </text>
    </comment>
  </commentList>
</comments>
</file>

<file path=xl/sharedStrings.xml><?xml version="1.0" encoding="utf-8"?>
<sst xmlns="http://schemas.openxmlformats.org/spreadsheetml/2006/main" count="453" uniqueCount="257">
  <si>
    <t>km/h</t>
  </si>
  <si>
    <t xml:space="preserve">Handlings </t>
  </si>
  <si>
    <t xml:space="preserve">Road Transport </t>
  </si>
  <si>
    <t xml:space="preserve">km </t>
  </si>
  <si>
    <t>h</t>
  </si>
  <si>
    <t>t</t>
  </si>
  <si>
    <t>m</t>
  </si>
  <si>
    <t>Wagon Type</t>
  </si>
  <si>
    <t>Tare (t)</t>
  </si>
  <si>
    <t>Volume (m3)</t>
  </si>
  <si>
    <t>Payload (t)</t>
  </si>
  <si>
    <t>Length (m)</t>
  </si>
  <si>
    <t xml:space="preserve">Source </t>
  </si>
  <si>
    <t>GATX</t>
  </si>
  <si>
    <t xml:space="preserve">Lineas </t>
  </si>
  <si>
    <t>Gross Weight (t)</t>
  </si>
  <si>
    <t>Tombereaux - Eamnos</t>
  </si>
  <si>
    <t>Tombereaux - Eanos</t>
  </si>
  <si>
    <t xml:space="preserve">Tombereaux - Fas </t>
  </si>
  <si>
    <t>Tombereaux - Tamns</t>
  </si>
  <si>
    <t>Rental cost (Eur per day)</t>
  </si>
  <si>
    <t>Eamnos</t>
  </si>
  <si>
    <t>km</t>
  </si>
  <si>
    <t>1600 à 2000 t (km)</t>
  </si>
  <si>
    <t>1600 * 2000 t (€/km)</t>
  </si>
  <si>
    <t>1200 à 1600 t (km)</t>
  </si>
  <si>
    <t>1200 à 1600 t (€/km)</t>
  </si>
  <si>
    <t>800 à 1200 t (km)</t>
  </si>
  <si>
    <t>800 à 1200 t (€/km)</t>
  </si>
  <si>
    <t>&lt;800 (€/km)</t>
  </si>
  <si>
    <t>PAV (km)</t>
  </si>
  <si>
    <t xml:space="preserve">Default Value </t>
  </si>
  <si>
    <t xml:space="preserve">Description </t>
  </si>
  <si>
    <t>Data to be introduced manually</t>
  </si>
  <si>
    <t xml:space="preserve">Default data </t>
  </si>
  <si>
    <t xml:space="preserve">Computed value </t>
  </si>
  <si>
    <t>The type of wagons is defined by a suite of letters each having a specific meaning defined in technical sheet by the UIC (Union Internationale des Chemins de fer)</t>
  </si>
  <si>
    <t>Used to verify the possibility to load the expected tonnage according to the available volumes</t>
  </si>
  <si>
    <t>Density of the freight</t>
  </si>
  <si>
    <t xml:space="preserve">Wagon.Type </t>
  </si>
  <si>
    <t xml:space="preserve">Operational data </t>
  </si>
  <si>
    <t xml:space="preserve">Wagon.Length </t>
  </si>
  <si>
    <t xml:space="preserve">Wagon.Leasing cost </t>
  </si>
  <si>
    <t>Expressed in €/calendar day</t>
  </si>
  <si>
    <t xml:space="preserve">Wagon.Tarre </t>
  </si>
  <si>
    <t xml:space="preserve"># Productive weeks of the project </t>
  </si>
  <si>
    <t xml:space="preserve">Wagon.Leasing duration </t>
  </si>
  <si>
    <t xml:space="preserve">Expressed in weeks </t>
  </si>
  <si>
    <t>Equipment cost per train</t>
  </si>
  <si>
    <t>Equipment cost per ton</t>
  </si>
  <si>
    <t xml:space="preserve">TOTAL PROJECT TRANSPORT COST </t>
  </si>
  <si>
    <t>Origin.Trucking</t>
  </si>
  <si>
    <t>Origin.Handling</t>
  </si>
  <si>
    <t>Destination.Handling</t>
  </si>
  <si>
    <t>Destination.Trucking</t>
  </si>
  <si>
    <t xml:space="preserve">Total project cost </t>
  </si>
  <si>
    <t>Handling cost due to the transhipment from the wagon to the truck</t>
  </si>
  <si>
    <t>Trucking cost between the transhipment place to the destination</t>
  </si>
  <si>
    <t xml:space="preserve">Origin.Distance - one way </t>
  </si>
  <si>
    <t>Origin.Avg speed of the truck</t>
  </si>
  <si>
    <t xml:space="preserve">Origin.Avg cost per hour </t>
  </si>
  <si>
    <t>Origin.Loading duration @ mining place</t>
  </si>
  <si>
    <t>Origin.Unloading duration @ transhipment place</t>
  </si>
  <si>
    <t>Origin.Payload per truck</t>
  </si>
  <si>
    <t xml:space="preserve">Destination.Distance - one way </t>
  </si>
  <si>
    <t>Destination.Avg speed of the truck</t>
  </si>
  <si>
    <t xml:space="preserve">Destination.Avg cost per hour </t>
  </si>
  <si>
    <t>Destination.Loading duration @ mining place</t>
  </si>
  <si>
    <t>Destination.Unloading duration @ transhipment place</t>
  </si>
  <si>
    <t>Destination.Payload per truck</t>
  </si>
  <si>
    <t xml:space="preserve">Origin.Handling cost/hour </t>
  </si>
  <si>
    <t>Origin.Transhipment duration</t>
  </si>
  <si>
    <t xml:space="preserve">Origin.Transhipped tonnage </t>
  </si>
  <si>
    <t>Destination.Equipement</t>
  </si>
  <si>
    <t xml:space="preserve">Destination.Handling cost/hour </t>
  </si>
  <si>
    <t>Destination.Transhipment duration</t>
  </si>
  <si>
    <t xml:space="preserve">Destination.Transhipped tonnage </t>
  </si>
  <si>
    <t>Tonnage per project</t>
  </si>
  <si>
    <t># trains/week</t>
  </si>
  <si>
    <t xml:space="preserve">Loading frequency of identical wagons per week. This value is used to define the wagon cost per ton. </t>
  </si>
  <si>
    <t>Distance from departure station to destination station (empty run)</t>
  </si>
  <si>
    <t>Distance from departure station to destination station (loaded run)</t>
  </si>
  <si>
    <t>&lt; 800 t (km)</t>
  </si>
  <si>
    <t>Storage Cost</t>
  </si>
  <si>
    <t xml:space="preserve">Charges for storage of the goods </t>
  </si>
  <si>
    <t xml:space="preserve"># shifts </t>
  </si>
  <si>
    <t># locomotives</t>
  </si>
  <si>
    <t>LongHaul.Driver Cost</t>
  </si>
  <si>
    <t xml:space="preserve">Cost of Operations per ton </t>
  </si>
  <si>
    <t>Cost of Sales Overhead</t>
  </si>
  <si>
    <t>Com. + Op. Margin (in %)</t>
  </si>
  <si>
    <t>LongHaul.Price per roundtrip</t>
  </si>
  <si>
    <t xml:space="preserve">LongHaul.Price per ton </t>
  </si>
  <si>
    <t>Traction.TrackAccess</t>
  </si>
  <si>
    <t>Cost per roundtrip</t>
  </si>
  <si>
    <t>Traction.Locomotives</t>
  </si>
  <si>
    <t>Locomotive cost per roundtrip</t>
  </si>
  <si>
    <t>Locomotive cost per ton</t>
  </si>
  <si>
    <t>Traction.Staff</t>
  </si>
  <si>
    <t>Staff cost per roundtrip</t>
  </si>
  <si>
    <t xml:space="preserve">Rotation of the wagons/week </t>
  </si>
  <si>
    <t xml:space="preserve">Definitions </t>
  </si>
  <si>
    <t xml:space="preserve">Default Value = values proposed by the expert as standard values </t>
  </si>
  <si>
    <t xml:space="preserve">Project Value = values specific to the considered project </t>
  </si>
  <si>
    <t>Description</t>
  </si>
  <si>
    <t>Total Origin.Trucking cost</t>
  </si>
  <si>
    <t xml:space="preserve">Total Destination.Trucking cost </t>
  </si>
  <si>
    <t xml:space="preserve">DOOR-TO-DOOR </t>
  </si>
  <si>
    <t>RAIL-BASED COST SIMULATOR</t>
  </si>
  <si>
    <t xml:space="preserve">Trucking cost between the mining place and the road-to-rail transhipment place </t>
  </si>
  <si>
    <t xml:space="preserve">Rail equipment cost - wagon leasing costs </t>
  </si>
  <si>
    <t xml:space="preserve">Rail traction cost - costs necessary to move the wagons </t>
  </si>
  <si>
    <t>Distance between the mining site and the road-to-rail transhipment location</t>
  </si>
  <si>
    <t xml:space="preserve">Standard value </t>
  </si>
  <si>
    <t xml:space="preserve">Average commercial speed of a truck </t>
  </si>
  <si>
    <t xml:space="preserve">Average hourly cost (all-in) - source : extraction companies  </t>
  </si>
  <si>
    <t>Grab cranes</t>
  </si>
  <si>
    <t xml:space="preserve">Total Handling.Origin Cost </t>
  </si>
  <si>
    <t xml:space="preserve">Total Handling.Destination Cost </t>
  </si>
  <si>
    <t>All-in cost/hour of equipment, staff, energy</t>
  </si>
  <si>
    <t xml:space="preserve">Distance between the Transhipment location and the destination location  </t>
  </si>
  <si>
    <t xml:space="preserve">Payload of the train </t>
  </si>
  <si>
    <t xml:space="preserve">Duration of the operations necessary to load all the wagons of the train </t>
  </si>
  <si>
    <t xml:space="preserve">Duration of the operations necessary to unload all the wagons of the train and to transfer the goods on trucks </t>
  </si>
  <si>
    <t xml:space="preserve">Storage costs </t>
  </si>
  <si>
    <t>Avg. commercial speed of the trains</t>
  </si>
  <si>
    <t>Loaded run - Distance between the train departure station and the train arrival station</t>
  </si>
  <si>
    <t>Return trip from the arrival station to the origin station</t>
  </si>
  <si>
    <t>Wagon.Density of the payload</t>
  </si>
  <si>
    <t>Net tonnage of the freight</t>
  </si>
  <si>
    <t>Wagon.Max Volume</t>
  </si>
  <si>
    <t xml:space="preserve">Wagon.Max Payload </t>
  </si>
  <si>
    <t>Rail.Wagons</t>
  </si>
  <si>
    <t>Rail.Traction</t>
  </si>
  <si>
    <t>Wagons.Payload per wagon</t>
  </si>
  <si>
    <t>Train.Traject.Maximum gross weight per train</t>
  </si>
  <si>
    <t xml:space="preserve">Train. Payload per train </t>
  </si>
  <si>
    <t>Weight of the empty wagon</t>
  </si>
  <si>
    <t>Length from bumper to bumper</t>
  </si>
  <si>
    <t>Depends on the # and length of the tracks accessible for loading</t>
  </si>
  <si>
    <t>Depends on the # and length of the tracks accessible for unloading</t>
  </si>
  <si>
    <t xml:space="preserve">Train. # wagons </t>
  </si>
  <si>
    <t># weeks during which train departures are foreseen</t>
  </si>
  <si>
    <t>Total transported tonnage during the project</t>
  </si>
  <si>
    <t xml:space="preserve">Traction.Energy </t>
  </si>
  <si>
    <t xml:space="preserve">Train. Wagon Cost per train </t>
  </si>
  <si>
    <t>Rail.Wagon Cost per ton</t>
  </si>
  <si>
    <t>Traject of the locomotive with empty wagons</t>
  </si>
  <si>
    <t>Traject of the locomotive with loaded wagons</t>
  </si>
  <si>
    <t xml:space="preserve">The value depends on the gross weight of the train </t>
  </si>
  <si>
    <t>Access charges paid to the Infrastructure Manager (i.e. Infrabel in Belgium)</t>
  </si>
  <si>
    <t># locs necessary for shunting activities at the departure station</t>
  </si>
  <si>
    <t>The duration are expressed by roundtrip (loaded run + empty run). It is valid for First Mile - Long Haul - Last Mile.</t>
  </si>
  <si>
    <t xml:space="preserve">Usually, 2 diesel locs T77 are required by the Infrastructure Manager in order to be inserted in the passenger traffic. </t>
  </si>
  <si>
    <t xml:space="preserve">Railway Undertakings operating in Belgium </t>
  </si>
  <si>
    <t xml:space="preserve">DB Cargo </t>
  </si>
  <si>
    <t xml:space="preserve">Euro Cargo Rail </t>
  </si>
  <si>
    <t xml:space="preserve">SNCF Fret </t>
  </si>
  <si>
    <t xml:space="preserve">RailTraxx </t>
  </si>
  <si>
    <t xml:space="preserve">CFL Cargo </t>
  </si>
  <si>
    <t>HSL Logistik</t>
  </si>
  <si>
    <t>RTB Cargo</t>
  </si>
  <si>
    <t xml:space="preserve">Crossrail </t>
  </si>
  <si>
    <t>Only active in Antwerp</t>
  </si>
  <si>
    <t>Mainly traffic with Germany related to Antwerp - Zeebrugge - occasionnally Liège</t>
  </si>
  <si>
    <t>Roterdam Rail Feeding</t>
  </si>
  <si>
    <t xml:space="preserve">Only active in Flanders </t>
  </si>
  <si>
    <t xml:space="preserve">Only active on Long Haul </t>
  </si>
  <si>
    <r>
      <rPr>
        <b/>
        <i/>
        <sz val="11"/>
        <color theme="1"/>
        <rFont val="Calibri"/>
        <family val="2"/>
        <scheme val="minor"/>
      </rPr>
      <t>First Mile</t>
    </r>
    <r>
      <rPr>
        <sz val="11"/>
        <color theme="1"/>
        <rFont val="Calibri"/>
        <family val="2"/>
        <scheme val="minor"/>
      </rPr>
      <t xml:space="preserve"> includes the necessary operations to dispatch the empty wagons on the loading infrastructure and to gather back the wagons in order to prepare the long haul departure. </t>
    </r>
  </si>
  <si>
    <r>
      <rPr>
        <b/>
        <i/>
        <sz val="11"/>
        <color theme="1"/>
        <rFont val="Calibri"/>
        <family val="2"/>
        <scheme val="minor"/>
      </rPr>
      <t>Last Mile</t>
    </r>
    <r>
      <rPr>
        <sz val="11"/>
        <color theme="1"/>
        <rFont val="Calibri"/>
        <family val="2"/>
        <scheme val="minor"/>
      </rPr>
      <t xml:space="preserve"> includes the necessary operations to dispatch the wagons at the unloading infrastructure + operations needed to gather back the wagons in order to prepare the empty return trip. </t>
    </r>
  </si>
  <si>
    <t>Locomotives. # units per shift</t>
  </si>
  <si>
    <t>Locomotives.Ops Duration (in hours)</t>
  </si>
  <si>
    <t>Locomotives.Ops Duration (in #shifts)</t>
  </si>
  <si>
    <t># locs necessary for shunting activities at the arrival station. Highly probably, same locs than long haul.</t>
  </si>
  <si>
    <t>Long Haul</t>
  </si>
  <si>
    <t>Locomotive. Cost Last Mile</t>
  </si>
  <si>
    <t>Locomotives. Cost First Mile</t>
  </si>
  <si>
    <t>Locomotives. Cost Long Haul</t>
  </si>
  <si>
    <t>Operator needed to execute the shunting operations on the ground (coupling of wagons,…)</t>
  </si>
  <si>
    <t>Long Haul driver has a broader knowledge of the network</t>
  </si>
  <si>
    <t xml:space="preserve">A lower qualified driver may execute the local ops. </t>
  </si>
  <si>
    <t>LongHaul.Driver cost per shift</t>
  </si>
  <si>
    <t xml:space="preserve">LongHaul.Driver.Duration in hours </t>
  </si>
  <si>
    <t>First Mile.Shuting</t>
  </si>
  <si>
    <t>Last Mile.Shunting</t>
  </si>
  <si>
    <t>First Mile.Shunting</t>
  </si>
  <si>
    <t>LongHaul. Cost per km when wagons are loaded - loaded run</t>
  </si>
  <si>
    <t>LongHaul. Distance when wagons are empty - empty run</t>
  </si>
  <si>
    <t>LongHaul. Distance when wagons are loaded - loaded run</t>
  </si>
  <si>
    <t>LongHaul. Cost per km when wagons are empty - empty run</t>
  </si>
  <si>
    <t>Shunting. Average fuel consumption per locs (T77 - liters per hours)</t>
  </si>
  <si>
    <t>Total Energy Cost per roundtrip</t>
  </si>
  <si>
    <t xml:space="preserve">Unit </t>
  </si>
  <si>
    <t xml:space="preserve">Handling costs to transfer the materials from the truck to the wagons </t>
  </si>
  <si>
    <t>Scenario 2</t>
  </si>
  <si>
    <t>Scenario 1</t>
  </si>
  <si>
    <t>Unit</t>
  </si>
  <si>
    <t>Expressed in decimal value i.e. 30 min = 0.5 h</t>
  </si>
  <si>
    <t xml:space="preserve">Only the transhipment activities are taken into account. Indeed, loading and unloading activities at the departure and arrival locations are equal between a 100% trucking solution and an intermodal rail-based solution. </t>
  </si>
  <si>
    <t xml:space="preserve">Scenario 1 </t>
  </si>
  <si>
    <t xml:space="preserve">Origin.Equipement </t>
  </si>
  <si>
    <t xml:space="preserve">Informative field - Optional </t>
  </si>
  <si>
    <t>Cost parameter to be filled only if storage costs are incured - Optional</t>
  </si>
  <si>
    <t>€</t>
  </si>
  <si>
    <t>€/t</t>
  </si>
  <si>
    <t>€/h</t>
  </si>
  <si>
    <t xml:space="preserve">€/h </t>
  </si>
  <si>
    <r>
      <t>In case of a material density &lt; 1.3 kg/m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, the volume of the wagon could determine the maximum payload by wagon.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</si>
  <si>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</si>
  <si>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</si>
  <si>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You need to fill in the wagon data first to get the computation done</t>
  </si>
  <si>
    <r>
      <t xml:space="preserve">Train.Traject.Maximum length per train </t>
    </r>
    <r>
      <rPr>
        <sz val="10"/>
        <color theme="1"/>
        <rFont val="Calibri"/>
        <family val="2"/>
        <scheme val="minor"/>
      </rPr>
      <t>(locomotives excluded)</t>
    </r>
  </si>
  <si>
    <t>Value defined by the Infrastructure Manager (ex: Infrabel) according to (1) the geographical profile of the traject and (2) the power of the locomotive</t>
  </si>
  <si>
    <t>Value defined by the Infrastructure Manager (ex:Infrabel) according to the parking possibilities alongside the traject</t>
  </si>
  <si>
    <r>
      <t xml:space="preserve">OriginStation.Maximum length of the train </t>
    </r>
    <r>
      <rPr>
        <sz val="10"/>
        <color theme="1"/>
        <rFont val="Calibri"/>
        <family val="2"/>
        <scheme val="minor"/>
      </rPr>
      <t>(according to the limitation of the departure station)</t>
    </r>
  </si>
  <si>
    <r>
      <t xml:space="preserve">DestinationStation.Maximum length of the train </t>
    </r>
    <r>
      <rPr>
        <sz val="10"/>
        <color theme="1"/>
        <rFont val="Calibri"/>
        <family val="2"/>
        <scheme val="minor"/>
      </rPr>
      <t xml:space="preserve">(according to the limitation of the destination station) </t>
    </r>
  </si>
  <si>
    <t>Departure frequency of trains during the project period. This value is used to defined the project tonnage.</t>
  </si>
  <si>
    <t>€/train</t>
  </si>
  <si>
    <t>weeks/yr</t>
  </si>
  <si>
    <t xml:space="preserve">€/train </t>
  </si>
  <si>
    <r>
      <rPr>
        <b/>
        <i/>
        <sz val="11"/>
        <color theme="1"/>
        <rFont val="Calibri"/>
        <family val="2"/>
        <scheme val="minor"/>
      </rPr>
      <t>Long Haul</t>
    </r>
    <r>
      <rPr>
        <sz val="11"/>
        <color theme="1"/>
        <rFont val="Calibri"/>
        <family val="2"/>
        <scheme val="minor"/>
      </rPr>
      <t xml:space="preserve"> designates the main traject - usually on public infrastructure - between the departure station and the arrival station. Long Haul duration is considered as loaded + empty trip,</t>
    </r>
  </si>
  <si>
    <t>€/shift</t>
  </si>
  <si>
    <t>Sum of the duration for placing the empty wagon and retrieving the loaded ones - Duration expressed in shifts</t>
  </si>
  <si>
    <t>€/roundtrip</t>
  </si>
  <si>
    <t xml:space="preserve">Locomotives. Cost </t>
  </si>
  <si>
    <t xml:space="preserve">Diesel locomotive type 77 - most used in Belgium. Cost per unit and per shift </t>
  </si>
  <si>
    <t>Transport Duration based on the distance and the average commercial speed. Sum of the loaded + emptytrip. A standard duration of 1 h per departure is added in order to take the train preparation into account. In a roundtrip, there are 2 departures.</t>
  </si>
  <si>
    <t>Value = sum of the duration necessary to bring the loc to the loading place (standard 1h) + the operations duration + the duration to run back to the rail hub (standard 1h). The sum is rounded to the upper value when the decimal value is higher than 0.5.</t>
  </si>
  <si>
    <t>Sum of the duration for placing the empty wagon and retrieving the loaded ones - Expressed in hours</t>
  </si>
  <si>
    <t>Staff cost per ton</t>
  </si>
  <si>
    <t>Same duration as loc presence</t>
  </si>
  <si>
    <t xml:space="preserve">A lower qualified driver may execute the local ops </t>
  </si>
  <si>
    <t>A lower qualified driver may execute the local ops. If not, adapt the cost /shift to a higher level.</t>
  </si>
  <si>
    <t>1 hour preparation @ train departure when train is loaded; 1 hour preparation @ train departure when train is empty; driver remains on the locomotives when train is unloaded.</t>
  </si>
  <si>
    <t>Driver cost per shit</t>
  </si>
  <si>
    <t xml:space="preserve">Driver.Duration in hours </t>
  </si>
  <si>
    <t>Driver Cost</t>
  </si>
  <si>
    <t xml:space="preserve">GroundOperator cost per shift </t>
  </si>
  <si>
    <t xml:space="preserve">GroundOperator.Duration in hours </t>
  </si>
  <si>
    <t>GroundOperator Cost</t>
  </si>
  <si>
    <t>GroundOperator cost per shift</t>
  </si>
  <si>
    <t>Driver cost per shift</t>
  </si>
  <si>
    <t>€/km</t>
  </si>
  <si>
    <t>l</t>
  </si>
  <si>
    <t>€/l</t>
  </si>
  <si>
    <t xml:space="preserve">Shunting. Fuel cost </t>
  </si>
  <si>
    <t>per liter</t>
  </si>
  <si>
    <t>Shunting duration.</t>
  </si>
  <si>
    <t>Sum of the shunting durations multiplied by the # locs involved</t>
  </si>
  <si>
    <t xml:space="preserve">Traject of the locomotive without wagons = (distance between the parking place of the locomotive and the departure station) + (distance between the arrival station of the locomotive and the location of the next mission of the locomotive) </t>
  </si>
  <si>
    <t>PAV (€/km)</t>
  </si>
  <si>
    <t>Total Cost of Operations per roundtrip</t>
  </si>
  <si>
    <r>
      <t xml:space="preserve">Train. Length per train </t>
    </r>
    <r>
      <rPr>
        <sz val="10"/>
        <color theme="1"/>
        <rFont val="Calibri"/>
        <family val="2"/>
        <scheme val="minor"/>
      </rPr>
      <t>(locomotives excluded)</t>
    </r>
  </si>
  <si>
    <t>It is valid for First Mile - Long Haul - Last Mile.</t>
  </si>
  <si>
    <t xml:space="preserve">National coverage </t>
  </si>
  <si>
    <t xml:space="preserve">Development in Wallonia </t>
  </si>
  <si>
    <t xml:space="preserve">No diesel locomotives in Belgium.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</si>
</sst>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0" fillId="2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6" borderId="0" xfId="0" applyFill="1" applyBorder="1" applyAlignment="1">
      <alignment vertical="top"/>
    </xf>
    <xf numFmtId="0" fontId="4" fillId="6" borderId="0" xfId="0" applyFont="1" applyFill="1" applyAlignment="1">
      <alignment vertical="top"/>
    </xf>
    <xf numFmtId="0" fontId="4" fillId="6" borderId="3" xfId="0" applyFont="1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2" fillId="6" borderId="6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4" borderId="4" xfId="0" applyFill="1" applyBorder="1" applyAlignment="1"/>
    <xf numFmtId="0" fontId="0" fillId="3" borderId="0" xfId="0" applyFill="1" applyBorder="1" applyAlignment="1"/>
    <xf numFmtId="0" fontId="0" fillId="5" borderId="9" xfId="0" applyFill="1" applyBorder="1" applyAlignment="1"/>
    <xf numFmtId="0" fontId="0" fillId="6" borderId="9" xfId="0" applyFill="1" applyBorder="1" applyAlignment="1"/>
    <xf numFmtId="43" fontId="0" fillId="6" borderId="0" xfId="1" applyFont="1" applyFill="1" applyAlignment="1">
      <alignment horizontal="right" vertical="top"/>
    </xf>
    <xf numFmtId="43" fontId="0" fillId="6" borderId="9" xfId="1" applyFont="1" applyFill="1" applyBorder="1" applyAlignment="1">
      <alignment horizontal="right"/>
    </xf>
    <xf numFmtId="43" fontId="2" fillId="6" borderId="0" xfId="1" applyFont="1" applyFill="1" applyBorder="1" applyAlignment="1">
      <alignment horizontal="right" vertical="top"/>
    </xf>
    <xf numFmtId="43" fontId="0" fillId="6" borderId="0" xfId="1" applyFont="1" applyFill="1" applyBorder="1" applyAlignment="1">
      <alignment horizontal="right" vertical="top"/>
    </xf>
    <xf numFmtId="43" fontId="0" fillId="6" borderId="9" xfId="1" applyFont="1" applyFill="1" applyBorder="1" applyAlignment="1">
      <alignment horizontal="right" vertical="top"/>
    </xf>
    <xf numFmtId="43" fontId="0" fillId="5" borderId="1" xfId="1" applyFont="1" applyFill="1" applyBorder="1" applyAlignment="1">
      <alignment horizontal="right" vertical="top"/>
    </xf>
    <xf numFmtId="43" fontId="0" fillId="3" borderId="1" xfId="1" applyFont="1" applyFill="1" applyBorder="1" applyAlignment="1">
      <alignment horizontal="right" vertical="top"/>
    </xf>
    <xf numFmtId="43" fontId="0" fillId="5" borderId="0" xfId="1" applyFont="1" applyFill="1" applyBorder="1" applyAlignment="1">
      <alignment horizontal="right" vertical="top"/>
    </xf>
    <xf numFmtId="43" fontId="0" fillId="6" borderId="4" xfId="1" applyFont="1" applyFill="1" applyBorder="1" applyAlignment="1">
      <alignment horizontal="right" vertical="top"/>
    </xf>
    <xf numFmtId="0" fontId="0" fillId="6" borderId="0" xfId="0" applyFill="1" applyBorder="1" applyAlignment="1">
      <alignment horizontal="right" vertical="top"/>
    </xf>
    <xf numFmtId="43" fontId="2" fillId="5" borderId="1" xfId="1" applyFont="1" applyFill="1" applyBorder="1" applyAlignment="1">
      <alignment horizontal="right" vertical="top"/>
    </xf>
    <xf numFmtId="43" fontId="0" fillId="5" borderId="11" xfId="1" applyFont="1" applyFill="1" applyBorder="1" applyAlignment="1">
      <alignment horizontal="right" vertical="top"/>
    </xf>
    <xf numFmtId="43" fontId="0" fillId="5" borderId="12" xfId="1" applyFont="1" applyFill="1" applyBorder="1" applyAlignment="1">
      <alignment horizontal="right" vertical="top"/>
    </xf>
    <xf numFmtId="43" fontId="0" fillId="5" borderId="13" xfId="1" applyFont="1" applyFill="1" applyBorder="1" applyAlignment="1">
      <alignment horizontal="right" vertical="top"/>
    </xf>
    <xf numFmtId="43" fontId="0" fillId="5" borderId="3" xfId="1" applyFont="1" applyFill="1" applyBorder="1" applyAlignment="1">
      <alignment horizontal="right" vertical="top"/>
    </xf>
    <xf numFmtId="43" fontId="0" fillId="5" borderId="5" xfId="1" applyFont="1" applyFill="1" applyBorder="1" applyAlignment="1">
      <alignment horizontal="right" vertical="top"/>
    </xf>
    <xf numFmtId="43" fontId="0" fillId="5" borderId="6" xfId="1" applyFont="1" applyFill="1" applyBorder="1" applyAlignment="1">
      <alignment horizontal="right" vertical="top"/>
    </xf>
    <xf numFmtId="43" fontId="0" fillId="5" borderId="7" xfId="1" applyFont="1" applyFill="1" applyBorder="1" applyAlignment="1">
      <alignment horizontal="right" vertical="top"/>
    </xf>
    <xf numFmtId="43" fontId="0" fillId="5" borderId="8" xfId="1" applyFont="1" applyFill="1" applyBorder="1" applyAlignment="1">
      <alignment horizontal="right" vertical="top"/>
    </xf>
    <xf numFmtId="43" fontId="0" fillId="5" borderId="10" xfId="1" applyFont="1" applyFill="1" applyBorder="1" applyAlignment="1">
      <alignment horizontal="right" vertical="top"/>
    </xf>
    <xf numFmtId="43" fontId="0" fillId="3" borderId="3" xfId="1" applyFont="1" applyFill="1" applyBorder="1" applyAlignment="1">
      <alignment horizontal="right" vertical="top"/>
    </xf>
    <xf numFmtId="43" fontId="0" fillId="3" borderId="6" xfId="1" applyFont="1" applyFill="1" applyBorder="1" applyAlignment="1">
      <alignment horizontal="right" vertical="top"/>
    </xf>
    <xf numFmtId="43" fontId="0" fillId="3" borderId="8" xfId="1" applyFont="1" applyFill="1" applyBorder="1" applyAlignment="1">
      <alignment horizontal="right" vertical="top"/>
    </xf>
    <xf numFmtId="43" fontId="0" fillId="3" borderId="12" xfId="1" applyFont="1" applyFill="1" applyBorder="1" applyAlignment="1">
      <alignment horizontal="right" vertical="top"/>
    </xf>
    <xf numFmtId="43" fontId="0" fillId="3" borderId="13" xfId="1" applyFont="1" applyFill="1" applyBorder="1" applyAlignment="1">
      <alignment horizontal="right" vertical="top"/>
    </xf>
    <xf numFmtId="0" fontId="5" fillId="6" borderId="4" xfId="0" applyFont="1" applyFill="1" applyBorder="1" applyAlignment="1">
      <alignment vertical="top"/>
    </xf>
    <xf numFmtId="0" fontId="0" fillId="6" borderId="6" xfId="0" applyFont="1" applyFill="1" applyBorder="1" applyAlignment="1">
      <alignment vertical="top"/>
    </xf>
    <xf numFmtId="43" fontId="0" fillId="2" borderId="0" xfId="1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 applyBorder="1" applyAlignment="1">
      <alignment vertical="top"/>
    </xf>
    <xf numFmtId="43" fontId="0" fillId="2" borderId="0" xfId="1" applyFont="1" applyFill="1" applyBorder="1" applyAlignment="1">
      <alignment horizontal="right" vertical="top"/>
    </xf>
    <xf numFmtId="43" fontId="2" fillId="3" borderId="2" xfId="1" applyFont="1" applyFill="1" applyBorder="1" applyAlignment="1">
      <alignment horizontal="right" vertical="top"/>
    </xf>
    <xf numFmtId="43" fontId="2" fillId="3" borderId="3" xfId="1" applyFont="1" applyFill="1" applyBorder="1" applyAlignment="1">
      <alignment horizontal="right" vertical="top"/>
    </xf>
    <xf numFmtId="43" fontId="2" fillId="3" borderId="11" xfId="1" applyFont="1" applyFill="1" applyBorder="1" applyAlignment="1">
      <alignment horizontal="right" vertical="top"/>
    </xf>
    <xf numFmtId="0" fontId="0" fillId="5" borderId="1" xfId="1" applyNumberFormat="1" applyFont="1" applyFill="1" applyBorder="1" applyAlignment="1">
      <alignment horizontal="right" vertical="top"/>
    </xf>
    <xf numFmtId="43" fontId="2" fillId="5" borderId="2" xfId="1" applyFont="1" applyFill="1" applyBorder="1" applyAlignment="1">
      <alignment horizontal="right" vertical="top"/>
    </xf>
    <xf numFmtId="43" fontId="0" fillId="5" borderId="2" xfId="1" applyFont="1" applyFill="1" applyBorder="1" applyAlignment="1">
      <alignment horizontal="right" vertical="top"/>
    </xf>
    <xf numFmtId="43" fontId="0" fillId="5" borderId="14" xfId="1" applyFont="1" applyFill="1" applyBorder="1" applyAlignment="1">
      <alignment horizontal="right" vertical="top"/>
    </xf>
    <xf numFmtId="43" fontId="0" fillId="5" borderId="15" xfId="1" applyFont="1" applyFill="1" applyBorder="1" applyAlignment="1">
      <alignment horizontal="right" vertical="top"/>
    </xf>
    <xf numFmtId="0" fontId="0" fillId="6" borderId="0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6" xfId="0" applyFill="1" applyBorder="1" applyAlignment="1">
      <alignment horizontal="right" vertical="top"/>
    </xf>
    <xf numFmtId="0" fontId="0" fillId="6" borderId="8" xfId="0" applyFill="1" applyBorder="1" applyAlignment="1">
      <alignment horizontal="right" vertical="top"/>
    </xf>
    <xf numFmtId="43" fontId="0" fillId="3" borderId="7" xfId="1" applyFont="1" applyFill="1" applyBorder="1" applyAlignment="1">
      <alignment horizontal="right" vertical="top"/>
    </xf>
    <xf numFmtId="0" fontId="0" fillId="6" borderId="0" xfId="0" applyFill="1"/>
    <xf numFmtId="0" fontId="7" fillId="0" borderId="0" xfId="2"/>
    <xf numFmtId="0" fontId="8" fillId="0" borderId="0" xfId="0" applyFont="1"/>
    <xf numFmtId="0" fontId="4" fillId="6" borderId="6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43" fontId="0" fillId="2" borderId="4" xfId="1" applyFont="1" applyFill="1" applyBorder="1" applyAlignment="1">
      <alignment horizontal="right" vertical="top"/>
    </xf>
    <xf numFmtId="0" fontId="0" fillId="6" borderId="6" xfId="0" applyFill="1" applyBorder="1" applyAlignment="1">
      <alignment vertical="top" wrapText="1"/>
    </xf>
    <xf numFmtId="0" fontId="10" fillId="6" borderId="9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0" fillId="6" borderId="6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left" vertical="top"/>
    </xf>
    <xf numFmtId="0" fontId="10" fillId="6" borderId="6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left" vertical="top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right" vertical="top"/>
    </xf>
    <xf numFmtId="0" fontId="10" fillId="6" borderId="0" xfId="0" applyFont="1" applyFill="1" applyBorder="1" applyAlignment="1">
      <alignment horizontal="left" vertical="top"/>
    </xf>
    <xf numFmtId="43" fontId="0" fillId="5" borderId="4" xfId="1" applyFont="1" applyFill="1" applyBorder="1" applyAlignment="1">
      <alignment horizontal="right" vertical="top"/>
    </xf>
    <xf numFmtId="9" fontId="0" fillId="3" borderId="6" xfId="1" applyNumberFormat="1" applyFont="1" applyFill="1" applyBorder="1" applyAlignment="1">
      <alignment horizontal="right" vertical="top"/>
    </xf>
    <xf numFmtId="43" fontId="0" fillId="5" borderId="9" xfId="1" applyFont="1" applyFill="1" applyBorder="1" applyAlignment="1">
      <alignment horizontal="right" vertical="top"/>
    </xf>
    <xf numFmtId="43" fontId="0" fillId="3" borderId="9" xfId="1" applyFont="1" applyFill="1" applyBorder="1" applyAlignment="1">
      <alignment horizontal="right" vertical="top"/>
    </xf>
    <xf numFmtId="43" fontId="0" fillId="3" borderId="10" xfId="1" applyFont="1" applyFill="1" applyBorder="1" applyAlignment="1">
      <alignment horizontal="right" vertical="top"/>
    </xf>
    <xf numFmtId="0" fontId="0" fillId="6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0" fillId="6" borderId="7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43" fontId="0" fillId="4" borderId="11" xfId="1" applyFont="1" applyFill="1" applyBorder="1" applyAlignment="1" applyProtection="1">
      <alignment horizontal="right" vertical="top"/>
      <protection locked="0"/>
    </xf>
    <xf numFmtId="43" fontId="0" fillId="4" borderId="12" xfId="1" applyFont="1" applyFill="1" applyBorder="1" applyAlignment="1" applyProtection="1">
      <alignment horizontal="right" vertical="top"/>
      <protection locked="0"/>
    </xf>
    <xf numFmtId="43" fontId="0" fillId="4" borderId="13" xfId="1" applyFont="1" applyFill="1" applyBorder="1" applyAlignment="1" applyProtection="1">
      <alignment horizontal="right" vertical="top"/>
      <protection locked="0"/>
    </xf>
    <xf numFmtId="43" fontId="0" fillId="4" borderId="6" xfId="1" applyFont="1" applyFill="1" applyBorder="1" applyAlignment="1" applyProtection="1">
      <alignment horizontal="right" vertical="top"/>
      <protection locked="0"/>
    </xf>
    <xf numFmtId="43" fontId="0" fillId="4" borderId="7" xfId="1" applyFont="1" applyFill="1" applyBorder="1" applyAlignment="1" applyProtection="1">
      <alignment horizontal="right" vertical="top"/>
      <protection locked="0"/>
    </xf>
    <xf numFmtId="43" fontId="0" fillId="4" borderId="8" xfId="1" applyFont="1" applyFill="1" applyBorder="1" applyAlignment="1" applyProtection="1">
      <alignment horizontal="right" vertical="top"/>
      <protection locked="0"/>
    </xf>
    <xf numFmtId="43" fontId="0" fillId="4" borderId="1" xfId="1" applyFont="1" applyFill="1" applyBorder="1" applyAlignment="1" applyProtection="1">
      <alignment horizontal="right" vertical="top"/>
      <protection locked="0"/>
    </xf>
    <xf numFmtId="43" fontId="0" fillId="4" borderId="3" xfId="1" applyFont="1" applyFill="1" applyBorder="1" applyAlignment="1" applyProtection="1">
      <alignment horizontal="right" vertical="top"/>
      <protection locked="0"/>
    </xf>
    <xf numFmtId="43" fontId="2" fillId="4" borderId="11" xfId="1" applyFont="1" applyFill="1" applyBorder="1" applyAlignment="1" applyProtection="1">
      <alignment horizontal="right" vertical="top"/>
      <protection locked="0"/>
    </xf>
    <xf numFmtId="43" fontId="0" fillId="4" borderId="5" xfId="1" applyFont="1" applyFill="1" applyBorder="1" applyAlignment="1" applyProtection="1">
      <alignment horizontal="right" vertical="top"/>
      <protection locked="0"/>
    </xf>
    <xf numFmtId="43" fontId="2" fillId="4" borderId="12" xfId="1" applyFont="1" applyFill="1" applyBorder="1" applyAlignment="1" applyProtection="1">
      <alignment horizontal="right" vertical="top"/>
      <protection locked="0"/>
    </xf>
    <xf numFmtId="43" fontId="2" fillId="4" borderId="13" xfId="1" applyFont="1" applyFill="1" applyBorder="1" applyAlignment="1" applyProtection="1">
      <alignment horizontal="right" vertical="top"/>
      <protection locked="0"/>
    </xf>
    <xf numFmtId="43" fontId="0" fillId="4" borderId="10" xfId="1" applyFont="1" applyFill="1" applyBorder="1" applyAlignment="1" applyProtection="1">
      <alignment horizontal="right" vertical="top"/>
      <protection locked="0"/>
    </xf>
    <xf numFmtId="43" fontId="0" fillId="4" borderId="4" xfId="1" applyFont="1" applyFill="1" applyBorder="1" applyAlignment="1" applyProtection="1">
      <alignment horizontal="right" vertical="top"/>
      <protection locked="0"/>
    </xf>
    <xf numFmtId="43" fontId="0" fillId="4" borderId="0" xfId="1" applyFont="1" applyFill="1" applyBorder="1" applyAlignment="1" applyProtection="1">
      <alignment horizontal="right" vertical="top"/>
      <protection locked="0"/>
    </xf>
    <xf numFmtId="9" fontId="0" fillId="4" borderId="0" xfId="1" applyNumberFormat="1" applyFont="1" applyFill="1" applyBorder="1" applyAlignment="1" applyProtection="1">
      <alignment horizontal="right" vertical="top"/>
      <protection locked="0"/>
    </xf>
    <xf numFmtId="9" fontId="0" fillId="4" borderId="7" xfId="1" applyNumberFormat="1" applyFont="1" applyFill="1" applyBorder="1" applyAlignment="1" applyProtection="1">
      <alignment horizontal="right" vertical="top"/>
      <protection locked="0"/>
    </xf>
    <xf numFmtId="0" fontId="10" fillId="6" borderId="0" xfId="0" applyFont="1" applyFill="1" applyBorder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/>
    </xf>
    <xf numFmtId="0" fontId="10" fillId="6" borderId="6" xfId="0" applyFont="1" applyFill="1" applyBorder="1" applyAlignment="1">
      <alignment horizontal="left" vertical="top" wrapText="1"/>
    </xf>
    <xf numFmtId="43" fontId="0" fillId="6" borderId="0" xfId="1" applyFont="1" applyFill="1" applyBorder="1" applyAlignment="1">
      <alignment horizontal="left"/>
    </xf>
    <xf numFmtId="43" fontId="0" fillId="6" borderId="4" xfId="1" applyFont="1" applyFill="1" applyBorder="1" applyAlignment="1">
      <alignment horizontal="left"/>
    </xf>
    <xf numFmtId="0" fontId="10" fillId="6" borderId="0" xfId="0" applyFont="1" applyFill="1" applyBorder="1" applyAlignment="1">
      <alignment vertical="top" wrapText="1"/>
    </xf>
    <xf numFmtId="0" fontId="10" fillId="6" borderId="7" xfId="0" applyFont="1" applyFill="1" applyBorder="1" applyAlignment="1">
      <alignment vertical="top" wrapText="1"/>
    </xf>
    <xf numFmtId="0" fontId="14" fillId="0" borderId="0" xfId="0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1151963</xdr:colOff>
      <xdr:row>0</xdr:row>
      <xdr:rowOff>146424</xdr:rowOff>
    </xdr:from>
    <xdr:to>
      <xdr:col>8</xdr:col>
      <xdr:colOff>424284</xdr:colOff>
      <xdr:row>5</xdr:row>
      <xdr:rowOff>78684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20834" y="146424"/>
          <a:ext cx="1576250" cy="945272"/>
        </a:xfrm>
        <a:prstGeom prst="rect">
          <a:avLst/>
        </a:prstGeom>
      </xdr:spPr>
    </xdr:pic>
    <xdr:clientData/>
  </xdr:twoCellAnchor>
  <xdr:twoCellAnchor editAs="oneCell">
    <xdr:from>
      <xdr:col>2</xdr:col>
      <xdr:colOff>39718</xdr:colOff>
      <xdr:row>0</xdr:row>
      <xdr:rowOff>35858</xdr:rowOff>
    </xdr:from>
    <xdr:to>
      <xdr:col>3</xdr:col>
      <xdr:colOff>118782</xdr:colOff>
      <xdr:row>5</xdr:row>
      <xdr:rowOff>150488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189" y="35858"/>
          <a:ext cx="2111811" cy="1127642"/>
        </a:xfrm>
        <a:prstGeom prst="rect">
          <a:avLst/>
        </a:prstGeom>
      </xdr:spPr>
    </xdr:pic>
    <xdr:clientData/>
  </xdr:twoCellAnchor>
  <xdr:twoCellAnchor editAs="oneCell">
    <xdr:from>
      <xdr:col>5</xdr:col>
      <xdr:colOff>725714</xdr:colOff>
      <xdr:row>1</xdr:row>
      <xdr:rowOff>36286</xdr:rowOff>
    </xdr:from>
    <xdr:to>
      <xdr:col>6</xdr:col>
      <xdr:colOff>1114266</xdr:colOff>
      <xdr:row>5</xdr:row>
      <xdr:rowOff>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001" t="19774" r="1" b="19774"/>
        <a:stretch/>
      </xdr:blipFill>
      <xdr:spPr>
        <a:xfrm>
          <a:off x="7257143" y="217715"/>
          <a:ext cx="2529409" cy="810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I234"/>
  <sheetViews>
    <sheetView topLeftCell="B154" zoomScale="95" zoomScaleNormal="95" workbookViewId="0">
      <selection activeCell="B41" sqref="B41"/>
    </sheetView>
  </sheetViews>
  <sheetFormatPr baseColWidth="10" defaultColWidth="8.77734375" defaultRowHeight="14.4" x14ac:dyDescent="0.3"/>
  <cols>
    <col min="1" max="2" width="6.5546875" style="2" customWidth="1"/>
    <col min="3" max="3" width="29.6640625" style="2" customWidth="1"/>
    <col min="4" max="4" width="31.5546875" style="2" customWidth="1"/>
    <col min="5" max="5" width="24.88671875" style="2" customWidth="1"/>
    <col min="6" max="6" width="31.21875" style="44" customWidth="1"/>
    <col min="7" max="7" width="17.88671875" style="44" customWidth="1"/>
    <col min="8" max="8" width="15.6640625" style="44" customWidth="1"/>
    <col min="9" max="9" width="12.77734375" style="83" bestFit="1" customWidth="1"/>
    <col min="10" max="16384" width="8.77734375" style="2"/>
  </cols>
  <sheetData>
    <row r="1" spans="3:9" x14ac:dyDescent="0.3">
      <c r="C1" s="61"/>
      <c r="D1" s="3"/>
      <c r="E1" s="3"/>
      <c r="F1" s="17"/>
      <c r="G1" s="17"/>
      <c r="H1" s="17"/>
      <c r="I1" s="82"/>
    </row>
    <row r="2" spans="3:9" x14ac:dyDescent="0.3">
      <c r="C2" s="3"/>
      <c r="D2" s="3"/>
      <c r="E2" s="3"/>
      <c r="F2" s="17"/>
      <c r="G2" s="17"/>
      <c r="H2" s="17"/>
      <c r="I2" s="82"/>
    </row>
    <row r="3" spans="3:9" x14ac:dyDescent="0.3">
      <c r="C3" s="3"/>
      <c r="D3" s="3"/>
      <c r="E3" s="3"/>
      <c r="F3" s="17"/>
      <c r="G3" s="17"/>
      <c r="H3" s="17"/>
      <c r="I3" s="82"/>
    </row>
    <row r="4" spans="3:9" ht="23.4" x14ac:dyDescent="0.3">
      <c r="C4" s="3"/>
      <c r="D4" s="3"/>
      <c r="E4" s="5" t="s">
        <v>107</v>
      </c>
      <c r="F4" s="17"/>
      <c r="G4" s="17"/>
      <c r="H4" s="17"/>
      <c r="I4" s="82"/>
    </row>
    <row r="5" spans="3:9" x14ac:dyDescent="0.3">
      <c r="C5" s="3"/>
      <c r="D5" s="3"/>
      <c r="E5" s="3" t="s">
        <v>108</v>
      </c>
      <c r="F5" s="17"/>
      <c r="G5" s="17"/>
      <c r="H5" s="17"/>
      <c r="I5" s="82"/>
    </row>
    <row r="6" spans="3:9" x14ac:dyDescent="0.3">
      <c r="C6" s="3"/>
      <c r="D6" s="3"/>
      <c r="E6" s="3"/>
      <c r="F6" s="17"/>
      <c r="G6" s="17"/>
      <c r="H6" s="17"/>
      <c r="I6" s="82"/>
    </row>
    <row r="8" spans="3:9" ht="15" thickBot="1" x14ac:dyDescent="0.35"/>
    <row r="9" spans="3:9" ht="23.4" x14ac:dyDescent="0.3">
      <c r="C9" s="6" t="s">
        <v>101</v>
      </c>
      <c r="D9" s="13" t="s">
        <v>33</v>
      </c>
      <c r="E9" s="117" t="s">
        <v>102</v>
      </c>
      <c r="F9" s="117"/>
      <c r="G9" s="25"/>
      <c r="H9" s="25"/>
      <c r="I9" s="84"/>
    </row>
    <row r="10" spans="3:9" x14ac:dyDescent="0.3">
      <c r="C10" s="10"/>
      <c r="D10" s="14" t="s">
        <v>34</v>
      </c>
      <c r="E10" s="116" t="s">
        <v>103</v>
      </c>
      <c r="F10" s="116"/>
      <c r="G10" s="20"/>
      <c r="H10" s="20"/>
      <c r="I10" s="85"/>
    </row>
    <row r="11" spans="3:9" ht="15" thickBot="1" x14ac:dyDescent="0.35">
      <c r="C11" s="11"/>
      <c r="D11" s="15" t="s">
        <v>35</v>
      </c>
      <c r="E11" s="16"/>
      <c r="F11" s="18"/>
      <c r="G11" s="21"/>
      <c r="H11" s="21"/>
      <c r="I11" s="86"/>
    </row>
    <row r="12" spans="3:9" ht="15" thickBot="1" x14ac:dyDescent="0.35">
      <c r="E12" s="65"/>
      <c r="F12" s="66"/>
      <c r="G12" s="66"/>
      <c r="H12" s="66"/>
      <c r="I12" s="87"/>
    </row>
    <row r="13" spans="3:9" ht="23.4" x14ac:dyDescent="0.3">
      <c r="C13" s="6" t="s">
        <v>50</v>
      </c>
      <c r="D13" s="7"/>
      <c r="E13" s="7"/>
      <c r="F13" s="7"/>
      <c r="G13" s="7"/>
      <c r="H13" s="7"/>
      <c r="I13" s="84"/>
    </row>
    <row r="14" spans="3:9" ht="15" thickBot="1" x14ac:dyDescent="0.35">
      <c r="C14" s="8"/>
      <c r="D14" s="114" t="s">
        <v>32</v>
      </c>
      <c r="E14" s="114"/>
      <c r="F14" s="19" t="s">
        <v>31</v>
      </c>
      <c r="G14" s="19" t="s">
        <v>195</v>
      </c>
      <c r="H14" s="19" t="s">
        <v>194</v>
      </c>
      <c r="I14" s="88" t="s">
        <v>192</v>
      </c>
    </row>
    <row r="15" spans="3:9" ht="15" thickBot="1" x14ac:dyDescent="0.35">
      <c r="C15" s="8" t="s">
        <v>55</v>
      </c>
      <c r="D15" s="9"/>
      <c r="E15" s="4"/>
      <c r="F15" s="27">
        <f>SUM(F17:F24)</f>
        <v>16.494266639301337</v>
      </c>
      <c r="G15" s="27" t="e">
        <f t="shared" ref="G15:H15" si="0">SUM(G17:G24)</f>
        <v>#DIV/0!</v>
      </c>
      <c r="H15" s="27" t="e">
        <f t="shared" si="0"/>
        <v>#DIV/0!</v>
      </c>
      <c r="I15" s="88" t="s">
        <v>204</v>
      </c>
    </row>
    <row r="16" spans="3:9" ht="15" thickBot="1" x14ac:dyDescent="0.35">
      <c r="C16" s="8"/>
      <c r="D16" s="9"/>
      <c r="E16" s="9"/>
      <c r="F16" s="20"/>
      <c r="G16" s="20"/>
      <c r="H16" s="20"/>
      <c r="I16" s="85"/>
    </row>
    <row r="17" spans="3:9" ht="30" customHeight="1" x14ac:dyDescent="0.3">
      <c r="C17" s="10" t="s">
        <v>51</v>
      </c>
      <c r="D17" s="118" t="s">
        <v>109</v>
      </c>
      <c r="E17" s="119"/>
      <c r="F17" s="28">
        <f>F30</f>
        <v>2.0892857142857144</v>
      </c>
      <c r="G17" s="31" t="e">
        <f>G30</f>
        <v>#DIV/0!</v>
      </c>
      <c r="H17" s="28" t="e">
        <f>H30</f>
        <v>#DIV/0!</v>
      </c>
      <c r="I17" s="89" t="s">
        <v>204</v>
      </c>
    </row>
    <row r="18" spans="3:9" ht="28.8" customHeight="1" x14ac:dyDescent="0.3">
      <c r="C18" s="10" t="s">
        <v>52</v>
      </c>
      <c r="D18" s="118" t="s">
        <v>193</v>
      </c>
      <c r="E18" s="119"/>
      <c r="F18" s="29">
        <f>F56</f>
        <v>0.8</v>
      </c>
      <c r="G18" s="33">
        <f>G56</f>
        <v>0</v>
      </c>
      <c r="H18" s="29">
        <f>H56</f>
        <v>0</v>
      </c>
      <c r="I18" s="89" t="s">
        <v>204</v>
      </c>
    </row>
    <row r="19" spans="3:9" x14ac:dyDescent="0.3">
      <c r="C19" s="10" t="s">
        <v>132</v>
      </c>
      <c r="D19" s="118" t="s">
        <v>110</v>
      </c>
      <c r="E19" s="119"/>
      <c r="F19" s="29">
        <f>F110</f>
        <v>1.3201678240740742</v>
      </c>
      <c r="G19" s="33">
        <f>G110</f>
        <v>1.5842013888888888</v>
      </c>
      <c r="H19" s="29">
        <f>H110</f>
        <v>1.3201678240740742</v>
      </c>
      <c r="I19" s="89" t="s">
        <v>204</v>
      </c>
    </row>
    <row r="20" spans="3:9" x14ac:dyDescent="0.3">
      <c r="C20" s="10" t="s">
        <v>133</v>
      </c>
      <c r="D20" s="118" t="s">
        <v>111</v>
      </c>
      <c r="E20" s="119"/>
      <c r="F20" s="29">
        <f>F232</f>
        <v>9.3955273866558322</v>
      </c>
      <c r="G20" s="33">
        <f>G232</f>
        <v>11.692032154759998</v>
      </c>
      <c r="H20" s="29">
        <f>H232</f>
        <v>9.3726389264546555</v>
      </c>
      <c r="I20" s="89" t="s">
        <v>204</v>
      </c>
    </row>
    <row r="21" spans="3:9" x14ac:dyDescent="0.3">
      <c r="C21" s="10" t="s">
        <v>53</v>
      </c>
      <c r="D21" s="118" t="s">
        <v>56</v>
      </c>
      <c r="E21" s="119"/>
      <c r="F21" s="29">
        <f>F65</f>
        <v>0.8</v>
      </c>
      <c r="G21" s="33">
        <f>G65</f>
        <v>0</v>
      </c>
      <c r="H21" s="29">
        <f>H65</f>
        <v>0</v>
      </c>
      <c r="I21" s="89" t="s">
        <v>204</v>
      </c>
    </row>
    <row r="22" spans="3:9" x14ac:dyDescent="0.3">
      <c r="C22" s="10" t="s">
        <v>54</v>
      </c>
      <c r="D22" s="118" t="s">
        <v>57</v>
      </c>
      <c r="E22" s="119"/>
      <c r="F22" s="29">
        <f>F41</f>
        <v>2.0892857142857144</v>
      </c>
      <c r="G22" s="33" t="e">
        <f>G41</f>
        <v>#DIV/0!</v>
      </c>
      <c r="H22" s="29" t="e">
        <f>H41</f>
        <v>#DIV/0!</v>
      </c>
      <c r="I22" s="89" t="s">
        <v>204</v>
      </c>
    </row>
    <row r="23" spans="3:9" ht="15" thickBot="1" x14ac:dyDescent="0.35">
      <c r="C23" s="10" t="s">
        <v>83</v>
      </c>
      <c r="D23" s="118" t="s">
        <v>124</v>
      </c>
      <c r="E23" s="119"/>
      <c r="F23" s="30">
        <f>F77</f>
        <v>0</v>
      </c>
      <c r="G23" s="30">
        <f t="shared" ref="G23:H23" si="1">G77</f>
        <v>0</v>
      </c>
      <c r="H23" s="30">
        <f t="shared" si="1"/>
        <v>0</v>
      </c>
      <c r="I23" s="89"/>
    </row>
    <row r="24" spans="3:9" ht="15" thickBot="1" x14ac:dyDescent="0.35">
      <c r="C24" s="11"/>
      <c r="D24" s="68"/>
      <c r="E24" s="68"/>
      <c r="F24" s="21"/>
      <c r="G24" s="21"/>
      <c r="H24" s="21"/>
      <c r="I24" s="90"/>
    </row>
    <row r="25" spans="3:9" x14ac:dyDescent="0.3">
      <c r="C25" s="46"/>
      <c r="D25" s="46"/>
      <c r="E25" s="46"/>
      <c r="F25" s="47"/>
      <c r="G25" s="47"/>
      <c r="H25" s="47"/>
      <c r="I25" s="91"/>
    </row>
    <row r="26" spans="3:9" x14ac:dyDescent="0.3">
      <c r="C26" s="46"/>
      <c r="D26" s="46"/>
      <c r="E26" s="46"/>
      <c r="F26" s="47"/>
      <c r="G26" s="47"/>
      <c r="H26" s="47"/>
      <c r="I26" s="91"/>
    </row>
    <row r="27" spans="3:9" ht="15" thickBot="1" x14ac:dyDescent="0.35"/>
    <row r="28" spans="3:9" ht="23.4" x14ac:dyDescent="0.3">
      <c r="C28" s="6" t="s">
        <v>2</v>
      </c>
      <c r="D28" s="42"/>
      <c r="E28" s="7"/>
      <c r="F28" s="7"/>
      <c r="G28" s="7"/>
      <c r="H28" s="7"/>
      <c r="I28" s="84"/>
    </row>
    <row r="29" spans="3:9" ht="15" thickBot="1" x14ac:dyDescent="0.35">
      <c r="C29" s="8"/>
      <c r="D29" s="9" t="s">
        <v>104</v>
      </c>
      <c r="E29" s="4"/>
      <c r="F29" s="19" t="s">
        <v>31</v>
      </c>
      <c r="G29" s="19" t="s">
        <v>195</v>
      </c>
      <c r="H29" s="19" t="s">
        <v>194</v>
      </c>
      <c r="I29" s="88" t="s">
        <v>192</v>
      </c>
    </row>
    <row r="30" spans="3:9" ht="15" thickBot="1" x14ac:dyDescent="0.35">
      <c r="C30" s="8" t="s">
        <v>105</v>
      </c>
      <c r="D30" s="4"/>
      <c r="E30" s="4"/>
      <c r="F30" s="27">
        <f>((F36+F35+(F32*2/F33))*F34)/F37</f>
        <v>2.0892857142857144</v>
      </c>
      <c r="G30" s="27" t="e">
        <f>((G36+G35+(G32*2/G33))*G34)/G37</f>
        <v>#DIV/0!</v>
      </c>
      <c r="H30" s="27" t="e">
        <f>((H36+H35+(H32*2/H33))*H34)/H37</f>
        <v>#DIV/0!</v>
      </c>
      <c r="I30" s="88" t="s">
        <v>204</v>
      </c>
    </row>
    <row r="31" spans="3:9" ht="15" thickBot="1" x14ac:dyDescent="0.35">
      <c r="C31" s="10"/>
      <c r="D31" s="4"/>
      <c r="E31" s="4"/>
      <c r="F31" s="20"/>
      <c r="G31" s="20"/>
      <c r="H31" s="20"/>
      <c r="I31" s="85"/>
    </row>
    <row r="32" spans="3:9" ht="29.4" customHeight="1" x14ac:dyDescent="0.3">
      <c r="C32" s="10" t="s">
        <v>58</v>
      </c>
      <c r="D32" s="112" t="s">
        <v>112</v>
      </c>
      <c r="E32" s="113"/>
      <c r="F32" s="93">
        <v>10</v>
      </c>
      <c r="G32" s="93"/>
      <c r="H32" s="93"/>
      <c r="I32" s="85" t="s">
        <v>3</v>
      </c>
    </row>
    <row r="33" spans="3:9" x14ac:dyDescent="0.3">
      <c r="C33" s="10" t="s">
        <v>59</v>
      </c>
      <c r="D33" s="112" t="s">
        <v>114</v>
      </c>
      <c r="E33" s="113"/>
      <c r="F33" s="40">
        <v>50</v>
      </c>
      <c r="G33" s="94"/>
      <c r="H33" s="94"/>
      <c r="I33" s="85" t="s">
        <v>0</v>
      </c>
    </row>
    <row r="34" spans="3:9" x14ac:dyDescent="0.3">
      <c r="C34" s="10" t="s">
        <v>60</v>
      </c>
      <c r="D34" s="112" t="s">
        <v>115</v>
      </c>
      <c r="E34" s="113"/>
      <c r="F34" s="40">
        <v>65</v>
      </c>
      <c r="G34" s="94"/>
      <c r="H34" s="94"/>
      <c r="I34" s="85" t="s">
        <v>206</v>
      </c>
    </row>
    <row r="35" spans="3:9" ht="28.8" x14ac:dyDescent="0.3">
      <c r="C35" s="67" t="s">
        <v>61</v>
      </c>
      <c r="D35" s="112" t="s">
        <v>197</v>
      </c>
      <c r="E35" s="113"/>
      <c r="F35" s="40">
        <v>0.25</v>
      </c>
      <c r="G35" s="94"/>
      <c r="H35" s="94"/>
      <c r="I35" s="85" t="s">
        <v>4</v>
      </c>
    </row>
    <row r="36" spans="3:9" ht="28.8" x14ac:dyDescent="0.3">
      <c r="C36" s="67" t="s">
        <v>62</v>
      </c>
      <c r="D36" s="112" t="s">
        <v>197</v>
      </c>
      <c r="E36" s="113"/>
      <c r="F36" s="40">
        <v>0.25</v>
      </c>
      <c r="G36" s="94"/>
      <c r="H36" s="94"/>
      <c r="I36" s="85" t="s">
        <v>4</v>
      </c>
    </row>
    <row r="37" spans="3:9" ht="15" thickBot="1" x14ac:dyDescent="0.35">
      <c r="C37" s="10" t="s">
        <v>63</v>
      </c>
      <c r="D37" s="112" t="s">
        <v>113</v>
      </c>
      <c r="E37" s="113"/>
      <c r="F37" s="41">
        <v>28</v>
      </c>
      <c r="G37" s="95"/>
      <c r="H37" s="95"/>
      <c r="I37" s="85" t="s">
        <v>5</v>
      </c>
    </row>
    <row r="38" spans="3:9" x14ac:dyDescent="0.3">
      <c r="C38" s="10"/>
      <c r="D38" s="4"/>
      <c r="E38" s="4"/>
      <c r="F38" s="20"/>
      <c r="G38" s="20"/>
      <c r="H38" s="20"/>
      <c r="I38" s="85"/>
    </row>
    <row r="39" spans="3:9" x14ac:dyDescent="0.3">
      <c r="C39" s="10"/>
      <c r="D39" s="4"/>
      <c r="E39" s="4"/>
      <c r="F39" s="20"/>
      <c r="G39" s="20"/>
      <c r="H39" s="20"/>
      <c r="I39" s="85"/>
    </row>
    <row r="40" spans="3:9" ht="15" thickBot="1" x14ac:dyDescent="0.35">
      <c r="C40" s="8"/>
      <c r="D40" s="4"/>
      <c r="E40" s="9" t="s">
        <v>32</v>
      </c>
      <c r="F40" s="19" t="str">
        <f>F29</f>
        <v xml:space="preserve">Default Value </v>
      </c>
      <c r="G40" s="19" t="str">
        <f>G29</f>
        <v>Scenario 1</v>
      </c>
      <c r="H40" s="19" t="str">
        <f>H29</f>
        <v>Scenario 2</v>
      </c>
      <c r="I40" s="88" t="s">
        <v>196</v>
      </c>
    </row>
    <row r="41" spans="3:9" ht="15" thickBot="1" x14ac:dyDescent="0.35">
      <c r="C41" s="8" t="s">
        <v>106</v>
      </c>
      <c r="D41" s="4"/>
      <c r="E41" s="4"/>
      <c r="F41" s="27">
        <f>((F47+F46+(F43*2/F44))*F45)/F48</f>
        <v>2.0892857142857144</v>
      </c>
      <c r="G41" s="27" t="e">
        <f>((G47+G46+(G43*2/G44))*G45)/G48</f>
        <v>#DIV/0!</v>
      </c>
      <c r="H41" s="27" t="e">
        <f>((H47+H46+(H43*2/H44))*H45)/H48</f>
        <v>#DIV/0!</v>
      </c>
      <c r="I41" s="85" t="s">
        <v>204</v>
      </c>
    </row>
    <row r="42" spans="3:9" ht="15" thickBot="1" x14ac:dyDescent="0.35">
      <c r="C42" s="8"/>
      <c r="D42" s="4"/>
      <c r="E42" s="4"/>
      <c r="F42" s="20"/>
      <c r="G42" s="20"/>
      <c r="H42" s="20"/>
      <c r="I42" s="85"/>
    </row>
    <row r="43" spans="3:9" ht="29.4" customHeight="1" x14ac:dyDescent="0.3">
      <c r="C43" s="10" t="s">
        <v>64</v>
      </c>
      <c r="D43" s="112" t="s">
        <v>120</v>
      </c>
      <c r="E43" s="113"/>
      <c r="F43" s="93">
        <v>10</v>
      </c>
      <c r="G43" s="93"/>
      <c r="H43" s="93"/>
      <c r="I43" s="85" t="s">
        <v>3</v>
      </c>
    </row>
    <row r="44" spans="3:9" x14ac:dyDescent="0.3">
      <c r="C44" s="10" t="s">
        <v>65</v>
      </c>
      <c r="D44" s="112" t="s">
        <v>114</v>
      </c>
      <c r="E44" s="113"/>
      <c r="F44" s="40">
        <v>50</v>
      </c>
      <c r="G44" s="94"/>
      <c r="H44" s="94"/>
      <c r="I44" s="85" t="s">
        <v>0</v>
      </c>
    </row>
    <row r="45" spans="3:9" x14ac:dyDescent="0.3">
      <c r="C45" s="10" t="s">
        <v>66</v>
      </c>
      <c r="D45" s="110" t="s">
        <v>115</v>
      </c>
      <c r="E45" s="111"/>
      <c r="F45" s="40">
        <v>65</v>
      </c>
      <c r="G45" s="94"/>
      <c r="H45" s="94"/>
      <c r="I45" s="85" t="s">
        <v>206</v>
      </c>
    </row>
    <row r="46" spans="3:9" ht="28.8" x14ac:dyDescent="0.3">
      <c r="C46" s="67" t="s">
        <v>67</v>
      </c>
      <c r="D46" s="110" t="s">
        <v>197</v>
      </c>
      <c r="E46" s="111"/>
      <c r="F46" s="40">
        <v>0.25</v>
      </c>
      <c r="G46" s="94"/>
      <c r="H46" s="94"/>
      <c r="I46" s="85" t="s">
        <v>4</v>
      </c>
    </row>
    <row r="47" spans="3:9" ht="28.8" x14ac:dyDescent="0.3">
      <c r="C47" s="67" t="s">
        <v>68</v>
      </c>
      <c r="D47" s="110" t="s">
        <v>197</v>
      </c>
      <c r="E47" s="111"/>
      <c r="F47" s="40">
        <v>0.25</v>
      </c>
      <c r="G47" s="94"/>
      <c r="H47" s="94"/>
      <c r="I47" s="85" t="s">
        <v>4</v>
      </c>
    </row>
    <row r="48" spans="3:9" ht="15" thickBot="1" x14ac:dyDescent="0.35">
      <c r="C48" s="10" t="s">
        <v>69</v>
      </c>
      <c r="D48" s="110" t="s">
        <v>113</v>
      </c>
      <c r="E48" s="111"/>
      <c r="F48" s="41">
        <v>28</v>
      </c>
      <c r="G48" s="95"/>
      <c r="H48" s="95"/>
      <c r="I48" s="85" t="s">
        <v>5</v>
      </c>
    </row>
    <row r="49" spans="3:9" ht="15" thickBot="1" x14ac:dyDescent="0.35">
      <c r="C49" s="11"/>
      <c r="D49" s="12"/>
      <c r="E49" s="12"/>
      <c r="F49" s="21"/>
      <c r="G49" s="21"/>
      <c r="H49" s="21"/>
      <c r="I49" s="86"/>
    </row>
    <row r="52" spans="3:9" ht="15" thickBot="1" x14ac:dyDescent="0.35"/>
    <row r="53" spans="3:9" ht="23.4" x14ac:dyDescent="0.3">
      <c r="C53" s="6" t="s">
        <v>1</v>
      </c>
      <c r="D53" s="7"/>
      <c r="E53" s="7"/>
      <c r="F53" s="25"/>
      <c r="G53" s="25"/>
      <c r="H53" s="25"/>
      <c r="I53" s="84"/>
    </row>
    <row r="54" spans="3:9" ht="34.200000000000003" customHeight="1" x14ac:dyDescent="0.3">
      <c r="C54" s="115" t="s">
        <v>198</v>
      </c>
      <c r="D54" s="112"/>
      <c r="E54" s="112"/>
      <c r="F54" s="112"/>
      <c r="G54" s="112"/>
      <c r="H54" s="112"/>
      <c r="I54" s="113"/>
    </row>
    <row r="55" spans="3:9" ht="21.45" customHeight="1" thickBot="1" x14ac:dyDescent="0.35">
      <c r="C55" s="10"/>
      <c r="D55" s="114" t="s">
        <v>32</v>
      </c>
      <c r="E55" s="114"/>
      <c r="F55" s="19" t="s">
        <v>31</v>
      </c>
      <c r="G55" s="19" t="s">
        <v>199</v>
      </c>
      <c r="H55" s="19" t="s">
        <v>194</v>
      </c>
      <c r="I55" s="88" t="s">
        <v>196</v>
      </c>
    </row>
    <row r="56" spans="3:9" ht="15" thickBot="1" x14ac:dyDescent="0.35">
      <c r="C56" s="8" t="s">
        <v>117</v>
      </c>
      <c r="D56" s="4"/>
      <c r="E56" s="4"/>
      <c r="F56" s="48">
        <v>0.8</v>
      </c>
      <c r="G56" s="51">
        <f>G59*G60/G61</f>
        <v>0</v>
      </c>
      <c r="H56" s="51">
        <f>H59*H60/H61</f>
        <v>0</v>
      </c>
      <c r="I56" s="85" t="s">
        <v>204</v>
      </c>
    </row>
    <row r="57" spans="3:9" ht="15" thickBot="1" x14ac:dyDescent="0.35">
      <c r="C57" s="10"/>
      <c r="D57" s="4"/>
      <c r="E57" s="4"/>
      <c r="F57" s="20"/>
      <c r="G57" s="20"/>
      <c r="H57" s="20"/>
      <c r="I57" s="85"/>
    </row>
    <row r="58" spans="3:9" x14ac:dyDescent="0.3">
      <c r="C58" s="10" t="s">
        <v>200</v>
      </c>
      <c r="D58" s="110" t="s">
        <v>201</v>
      </c>
      <c r="E58" s="111"/>
      <c r="F58" s="49" t="s">
        <v>116</v>
      </c>
      <c r="G58" s="49" t="s">
        <v>116</v>
      </c>
      <c r="H58" s="50" t="s">
        <v>116</v>
      </c>
      <c r="I58" s="85"/>
    </row>
    <row r="59" spans="3:9" x14ac:dyDescent="0.3">
      <c r="C59" s="10" t="s">
        <v>70</v>
      </c>
      <c r="D59" s="110" t="s">
        <v>119</v>
      </c>
      <c r="E59" s="111"/>
      <c r="F59" s="96"/>
      <c r="G59" s="94"/>
      <c r="H59" s="97"/>
      <c r="I59" s="85" t="s">
        <v>205</v>
      </c>
    </row>
    <row r="60" spans="3:9" ht="28.8" customHeight="1" x14ac:dyDescent="0.3">
      <c r="C60" s="10" t="s">
        <v>71</v>
      </c>
      <c r="D60" s="112" t="s">
        <v>122</v>
      </c>
      <c r="E60" s="113"/>
      <c r="F60" s="96"/>
      <c r="G60" s="94"/>
      <c r="H60" s="97"/>
      <c r="I60" s="85" t="s">
        <v>4</v>
      </c>
    </row>
    <row r="61" spans="3:9" ht="15" thickBot="1" x14ac:dyDescent="0.35">
      <c r="C61" s="10" t="s">
        <v>72</v>
      </c>
      <c r="D61" s="110" t="s">
        <v>121</v>
      </c>
      <c r="E61" s="111"/>
      <c r="F61" s="98"/>
      <c r="G61" s="30">
        <f>G95</f>
        <v>1380</v>
      </c>
      <c r="H61" s="30">
        <f>H95</f>
        <v>1224</v>
      </c>
      <c r="I61" s="85" t="s">
        <v>5</v>
      </c>
    </row>
    <row r="62" spans="3:9" x14ac:dyDescent="0.3">
      <c r="C62" s="10"/>
      <c r="D62" s="4"/>
      <c r="E62" s="4"/>
      <c r="F62" s="20"/>
      <c r="G62" s="20"/>
      <c r="H62" s="20"/>
      <c r="I62" s="85"/>
    </row>
    <row r="63" spans="3:9" x14ac:dyDescent="0.3">
      <c r="C63" s="10"/>
      <c r="D63" s="4"/>
      <c r="E63" s="4"/>
      <c r="F63" s="20"/>
      <c r="G63" s="20"/>
      <c r="H63" s="20"/>
      <c r="I63" s="85"/>
    </row>
    <row r="64" spans="3:9" ht="15" thickBot="1" x14ac:dyDescent="0.35">
      <c r="C64" s="10"/>
      <c r="D64" s="114" t="s">
        <v>32</v>
      </c>
      <c r="E64" s="114"/>
      <c r="F64" s="19" t="s">
        <v>31</v>
      </c>
      <c r="G64" s="19" t="s">
        <v>199</v>
      </c>
      <c r="H64" s="19" t="s">
        <v>194</v>
      </c>
      <c r="I64" s="88" t="s">
        <v>196</v>
      </c>
    </row>
    <row r="65" spans="3:9" ht="15" thickBot="1" x14ac:dyDescent="0.35">
      <c r="C65" s="8" t="s">
        <v>118</v>
      </c>
      <c r="D65" s="4"/>
      <c r="E65" s="4"/>
      <c r="F65" s="48">
        <v>0.8</v>
      </c>
      <c r="G65" s="51">
        <f>G68*G69/G70</f>
        <v>0</v>
      </c>
      <c r="H65" s="51">
        <f>H68*H69/H70</f>
        <v>0</v>
      </c>
      <c r="I65" s="85" t="s">
        <v>204</v>
      </c>
    </row>
    <row r="66" spans="3:9" ht="15" thickBot="1" x14ac:dyDescent="0.35">
      <c r="C66" s="10"/>
      <c r="D66" s="4"/>
      <c r="E66" s="4"/>
      <c r="F66" s="20"/>
      <c r="G66" s="20"/>
      <c r="H66" s="20"/>
      <c r="I66" s="85"/>
    </row>
    <row r="67" spans="3:9" x14ac:dyDescent="0.3">
      <c r="C67" s="10" t="s">
        <v>73</v>
      </c>
      <c r="D67" s="110" t="s">
        <v>201</v>
      </c>
      <c r="E67" s="111"/>
      <c r="F67" s="49" t="s">
        <v>116</v>
      </c>
      <c r="G67" s="49" t="s">
        <v>116</v>
      </c>
      <c r="H67" s="50" t="s">
        <v>116</v>
      </c>
      <c r="I67" s="85"/>
    </row>
    <row r="68" spans="3:9" x14ac:dyDescent="0.3">
      <c r="C68" s="10" t="s">
        <v>74</v>
      </c>
      <c r="D68" s="112" t="s">
        <v>119</v>
      </c>
      <c r="E68" s="113"/>
      <c r="F68" s="96"/>
      <c r="G68" s="94"/>
      <c r="H68" s="97"/>
      <c r="I68" s="85" t="s">
        <v>205</v>
      </c>
    </row>
    <row r="69" spans="3:9" ht="30.6" customHeight="1" x14ac:dyDescent="0.3">
      <c r="C69" s="10" t="s">
        <v>75</v>
      </c>
      <c r="D69" s="112" t="s">
        <v>123</v>
      </c>
      <c r="E69" s="113"/>
      <c r="F69" s="96"/>
      <c r="G69" s="94"/>
      <c r="H69" s="97"/>
      <c r="I69" s="85"/>
    </row>
    <row r="70" spans="3:9" ht="15" thickBot="1" x14ac:dyDescent="0.35">
      <c r="C70" s="10" t="s">
        <v>76</v>
      </c>
      <c r="D70" s="112" t="s">
        <v>121</v>
      </c>
      <c r="E70" s="113"/>
      <c r="F70" s="98"/>
      <c r="G70" s="30">
        <f>G95</f>
        <v>1380</v>
      </c>
      <c r="H70" s="30">
        <f>H95</f>
        <v>1224</v>
      </c>
      <c r="I70" s="85" t="s">
        <v>5</v>
      </c>
    </row>
    <row r="71" spans="3:9" ht="15" thickBot="1" x14ac:dyDescent="0.35">
      <c r="C71" s="11"/>
      <c r="D71" s="12"/>
      <c r="E71" s="12"/>
      <c r="F71" s="21"/>
      <c r="G71" s="21"/>
      <c r="H71" s="21"/>
      <c r="I71" s="86"/>
    </row>
    <row r="72" spans="3:9" x14ac:dyDescent="0.3">
      <c r="C72" s="46"/>
      <c r="D72" s="46"/>
      <c r="E72" s="46"/>
      <c r="F72" s="46"/>
      <c r="G72" s="46"/>
      <c r="H72" s="46"/>
      <c r="I72" s="92"/>
    </row>
    <row r="73" spans="3:9" x14ac:dyDescent="0.3">
      <c r="C73" s="46"/>
      <c r="D73" s="46"/>
      <c r="E73" s="46"/>
      <c r="F73" s="46"/>
      <c r="G73" s="46"/>
      <c r="H73" s="46"/>
      <c r="I73" s="92"/>
    </row>
    <row r="74" spans="3:9" ht="15" thickBot="1" x14ac:dyDescent="0.35"/>
    <row r="75" spans="3:9" ht="23.4" x14ac:dyDescent="0.3">
      <c r="C75" s="6" t="s">
        <v>83</v>
      </c>
      <c r="D75" s="7"/>
      <c r="E75" s="7"/>
      <c r="F75" s="7"/>
      <c r="G75" s="7"/>
      <c r="H75" s="7"/>
      <c r="I75" s="84"/>
    </row>
    <row r="76" spans="3:9" ht="24" thickBot="1" x14ac:dyDescent="0.35">
      <c r="C76" s="64"/>
      <c r="D76" s="114" t="s">
        <v>32</v>
      </c>
      <c r="E76" s="114"/>
      <c r="F76" s="19" t="s">
        <v>31</v>
      </c>
      <c r="G76" s="19" t="s">
        <v>199</v>
      </c>
      <c r="H76" s="19" t="s">
        <v>194</v>
      </c>
      <c r="I76" s="88" t="s">
        <v>196</v>
      </c>
    </row>
    <row r="77" spans="3:9" ht="28.8" customHeight="1" thickBot="1" x14ac:dyDescent="0.35">
      <c r="C77" s="10" t="s">
        <v>84</v>
      </c>
      <c r="D77" s="112" t="s">
        <v>202</v>
      </c>
      <c r="E77" s="113"/>
      <c r="F77" s="23">
        <v>0</v>
      </c>
      <c r="G77" s="99"/>
      <c r="H77" s="99"/>
      <c r="I77" s="85" t="s">
        <v>203</v>
      </c>
    </row>
    <row r="78" spans="3:9" ht="15" thickBot="1" x14ac:dyDescent="0.35">
      <c r="C78" s="11"/>
      <c r="D78" s="12"/>
      <c r="E78" s="12"/>
      <c r="F78" s="21"/>
      <c r="G78" s="21"/>
      <c r="H78" s="21"/>
      <c r="I78" s="86"/>
    </row>
    <row r="81" spans="3:9" ht="15" thickBot="1" x14ac:dyDescent="0.35"/>
    <row r="82" spans="3:9" ht="23.4" x14ac:dyDescent="0.3">
      <c r="C82" s="6" t="s">
        <v>132</v>
      </c>
      <c r="D82" s="7"/>
      <c r="E82" s="7"/>
      <c r="F82" s="25"/>
      <c r="G82" s="25"/>
      <c r="H82" s="25"/>
      <c r="I82" s="84"/>
    </row>
    <row r="83" spans="3:9" x14ac:dyDescent="0.3">
      <c r="C83" s="10"/>
      <c r="D83" s="4"/>
      <c r="E83" s="4"/>
      <c r="F83" s="20"/>
      <c r="G83" s="20"/>
      <c r="H83" s="20"/>
      <c r="I83" s="85"/>
    </row>
    <row r="84" spans="3:9" ht="15" thickBot="1" x14ac:dyDescent="0.35">
      <c r="C84" s="8"/>
      <c r="D84" s="114" t="s">
        <v>32</v>
      </c>
      <c r="E84" s="114"/>
      <c r="F84" s="19" t="s">
        <v>31</v>
      </c>
      <c r="G84" s="19" t="s">
        <v>199</v>
      </c>
      <c r="H84" s="19" t="s">
        <v>194</v>
      </c>
      <c r="I84" s="88" t="s">
        <v>196</v>
      </c>
    </row>
    <row r="85" spans="3:9" ht="32.4" customHeight="1" thickBot="1" x14ac:dyDescent="0.35">
      <c r="C85" s="8" t="s">
        <v>134</v>
      </c>
      <c r="D85" s="112" t="s">
        <v>37</v>
      </c>
      <c r="E85" s="113"/>
      <c r="F85" s="52">
        <f>IF(ISBLANK(F90)=TRUE,"Please, fill in the density value",IF(F90&gt;F89/F88,F89,F88*F90))</f>
        <v>72</v>
      </c>
      <c r="G85" s="51">
        <f>IF(ISBLANK(G90)=TRUE,"Please, fill in the density value",IF(G90&gt;(G89/G88),G89,G88*G90))</f>
        <v>60</v>
      </c>
      <c r="H85" s="51">
        <f>IF(ISBLANK(H90)=TRUE,"Please, fill in the density value",IF(H90&gt;H89/H88,H89,H88*H90))</f>
        <v>72</v>
      </c>
      <c r="I85" s="88"/>
    </row>
    <row r="86" spans="3:9" ht="15" thickBot="1" x14ac:dyDescent="0.35">
      <c r="C86" s="8"/>
      <c r="D86" s="69"/>
      <c r="E86" s="69"/>
      <c r="F86" s="20"/>
      <c r="G86" s="20"/>
      <c r="H86" s="20"/>
      <c r="I86" s="88"/>
    </row>
    <row r="87" spans="3:9" ht="44.4" customHeight="1" x14ac:dyDescent="0.3">
      <c r="C87" s="43" t="s">
        <v>39</v>
      </c>
      <c r="D87" s="112" t="s">
        <v>36</v>
      </c>
      <c r="E87" s="113"/>
      <c r="F87" s="50" t="s">
        <v>21</v>
      </c>
      <c r="G87" s="50" t="s">
        <v>21</v>
      </c>
      <c r="H87" s="50" t="s">
        <v>21</v>
      </c>
      <c r="I87" s="85"/>
    </row>
    <row r="88" spans="3:9" ht="31.2" customHeight="1" x14ac:dyDescent="0.3">
      <c r="C88" s="10" t="s">
        <v>130</v>
      </c>
      <c r="D88" s="112" t="s">
        <v>207</v>
      </c>
      <c r="E88" s="113"/>
      <c r="F88" s="94">
        <f>Equipment!B6</f>
        <v>57.2</v>
      </c>
      <c r="G88" s="94">
        <f>Equipment!B6</f>
        <v>57.2</v>
      </c>
      <c r="H88" s="94">
        <f>Equipment!B6</f>
        <v>57.2</v>
      </c>
      <c r="I88" s="85" t="s">
        <v>208</v>
      </c>
    </row>
    <row r="89" spans="3:9" x14ac:dyDescent="0.3">
      <c r="C89" s="10" t="s">
        <v>131</v>
      </c>
      <c r="D89" s="112" t="s">
        <v>129</v>
      </c>
      <c r="E89" s="113"/>
      <c r="F89" s="94">
        <f>Equipment!E6</f>
        <v>72</v>
      </c>
      <c r="G89" s="94">
        <v>60</v>
      </c>
      <c r="H89" s="94">
        <f>Equipment!E6</f>
        <v>72</v>
      </c>
      <c r="I89" s="85" t="s">
        <v>5</v>
      </c>
    </row>
    <row r="90" spans="3:9" ht="16.8" thickBot="1" x14ac:dyDescent="0.35">
      <c r="C90" s="10" t="s">
        <v>128</v>
      </c>
      <c r="D90" s="110" t="s">
        <v>38</v>
      </c>
      <c r="E90" s="111"/>
      <c r="F90" s="95">
        <v>1.7</v>
      </c>
      <c r="G90" s="95">
        <v>1.7</v>
      </c>
      <c r="H90" s="95">
        <v>3.7</v>
      </c>
      <c r="I90" s="85" t="s">
        <v>209</v>
      </c>
    </row>
    <row r="91" spans="3:9" x14ac:dyDescent="0.3">
      <c r="C91" s="10"/>
      <c r="D91" s="4"/>
      <c r="E91" s="4"/>
      <c r="F91" s="4"/>
      <c r="G91" s="4"/>
      <c r="H91" s="4"/>
      <c r="I91" s="85"/>
    </row>
    <row r="92" spans="3:9" x14ac:dyDescent="0.3">
      <c r="C92" s="10"/>
      <c r="D92" s="4"/>
      <c r="E92" s="4"/>
      <c r="F92" s="4"/>
      <c r="G92" s="4"/>
      <c r="H92" s="4"/>
      <c r="I92" s="85"/>
    </row>
    <row r="93" spans="3:9" ht="15" thickBot="1" x14ac:dyDescent="0.35">
      <c r="C93" s="10"/>
      <c r="D93" s="114" t="s">
        <v>32</v>
      </c>
      <c r="E93" s="114"/>
      <c r="F93" s="19" t="s">
        <v>31</v>
      </c>
      <c r="G93" s="19" t="s">
        <v>199</v>
      </c>
      <c r="H93" s="19" t="s">
        <v>194</v>
      </c>
      <c r="I93" s="88" t="s">
        <v>196</v>
      </c>
    </row>
    <row r="94" spans="3:9" ht="15" thickBot="1" x14ac:dyDescent="0.35">
      <c r="C94" s="8" t="s">
        <v>141</v>
      </c>
      <c r="D94" s="4"/>
      <c r="E94" s="4"/>
      <c r="F94" s="53">
        <f>ROUNDDOWN(MIN(F100/(F89+F98),MIN(F101:F103)/F99),0)</f>
        <v>20</v>
      </c>
      <c r="G94" s="22">
        <f>ROUNDDOWN(MIN(G100/(G89+G98),MIN(G101:G103)/G99),0)</f>
        <v>23</v>
      </c>
      <c r="H94" s="55">
        <f>ROUNDDOWN(MIN(H100/(H89+H98),MIN(H101:H103)/H99),0)</f>
        <v>17</v>
      </c>
      <c r="I94" s="85"/>
    </row>
    <row r="95" spans="3:9" ht="15" thickBot="1" x14ac:dyDescent="0.35">
      <c r="C95" s="43" t="s">
        <v>136</v>
      </c>
      <c r="D95" s="112" t="s">
        <v>210</v>
      </c>
      <c r="E95" s="113"/>
      <c r="F95" s="53">
        <f>F94*F89</f>
        <v>1440</v>
      </c>
      <c r="G95" s="22">
        <f>G94*G89</f>
        <v>1380</v>
      </c>
      <c r="H95" s="55">
        <f>H94*H89</f>
        <v>1224</v>
      </c>
      <c r="I95" s="85" t="s">
        <v>5</v>
      </c>
    </row>
    <row r="96" spans="3:9" ht="28.8" thickBot="1" x14ac:dyDescent="0.35">
      <c r="C96" s="70" t="s">
        <v>252</v>
      </c>
      <c r="D96" s="4"/>
      <c r="E96" s="4"/>
      <c r="F96" s="53">
        <f>F94*F99</f>
        <v>226</v>
      </c>
      <c r="G96" s="22">
        <f>G94*G99</f>
        <v>259.90000000000003</v>
      </c>
      <c r="H96" s="55">
        <f>H94*H99</f>
        <v>192.10000000000002</v>
      </c>
      <c r="I96" s="85" t="s">
        <v>6</v>
      </c>
    </row>
    <row r="97" spans="3:9" ht="15" thickBot="1" x14ac:dyDescent="0.35">
      <c r="C97" s="8"/>
      <c r="D97" s="4"/>
      <c r="E97" s="4"/>
      <c r="F97" s="20"/>
      <c r="G97" s="20"/>
      <c r="H97" s="20"/>
      <c r="I97" s="85"/>
    </row>
    <row r="98" spans="3:9" x14ac:dyDescent="0.3">
      <c r="C98" s="67" t="s">
        <v>44</v>
      </c>
      <c r="D98" s="110" t="s">
        <v>137</v>
      </c>
      <c r="E98" s="111"/>
      <c r="F98" s="100">
        <f>Equipment!C6</f>
        <v>18</v>
      </c>
      <c r="G98" s="101">
        <v>18</v>
      </c>
      <c r="H98" s="102">
        <f>Equipment!C6</f>
        <v>18</v>
      </c>
      <c r="I98" s="85" t="s">
        <v>5</v>
      </c>
    </row>
    <row r="99" spans="3:9" x14ac:dyDescent="0.3">
      <c r="C99" s="67" t="s">
        <v>41</v>
      </c>
      <c r="D99" s="112" t="s">
        <v>138</v>
      </c>
      <c r="E99" s="113"/>
      <c r="F99" s="96">
        <f>Equipment!F6</f>
        <v>11.3</v>
      </c>
      <c r="G99" s="103">
        <v>11.3</v>
      </c>
      <c r="H99" s="97">
        <f>Equipment!F6</f>
        <v>11.3</v>
      </c>
      <c r="I99" s="85" t="s">
        <v>6</v>
      </c>
    </row>
    <row r="100" spans="3:9" ht="44.4" customHeight="1" x14ac:dyDescent="0.3">
      <c r="C100" s="67" t="s">
        <v>135</v>
      </c>
      <c r="D100" s="112" t="s">
        <v>212</v>
      </c>
      <c r="E100" s="113"/>
      <c r="F100" s="38">
        <v>1800</v>
      </c>
      <c r="G100" s="103">
        <v>1800</v>
      </c>
      <c r="H100" s="97">
        <v>1800</v>
      </c>
      <c r="I100" s="85" t="s">
        <v>5</v>
      </c>
    </row>
    <row r="101" spans="3:9" ht="28.8" x14ac:dyDescent="0.3">
      <c r="C101" s="67" t="s">
        <v>211</v>
      </c>
      <c r="D101" s="112" t="s">
        <v>213</v>
      </c>
      <c r="E101" s="113"/>
      <c r="F101" s="38">
        <v>600</v>
      </c>
      <c r="G101" s="103">
        <v>600</v>
      </c>
      <c r="H101" s="97">
        <v>600</v>
      </c>
      <c r="I101" s="85" t="s">
        <v>6</v>
      </c>
    </row>
    <row r="102" spans="3:9" ht="42.6" x14ac:dyDescent="0.3">
      <c r="C102" s="67" t="s">
        <v>214</v>
      </c>
      <c r="D102" s="112" t="s">
        <v>139</v>
      </c>
      <c r="E102" s="113"/>
      <c r="F102" s="96">
        <v>400</v>
      </c>
      <c r="G102" s="103"/>
      <c r="H102" s="97">
        <v>400</v>
      </c>
      <c r="I102" s="85" t="s">
        <v>6</v>
      </c>
    </row>
    <row r="103" spans="3:9" ht="43.2" thickBot="1" x14ac:dyDescent="0.35">
      <c r="C103" s="67" t="s">
        <v>215</v>
      </c>
      <c r="D103" s="112" t="s">
        <v>140</v>
      </c>
      <c r="E103" s="113"/>
      <c r="F103" s="98">
        <v>400</v>
      </c>
      <c r="G103" s="104"/>
      <c r="H103" s="105">
        <v>200</v>
      </c>
      <c r="I103" s="85" t="s">
        <v>6</v>
      </c>
    </row>
    <row r="104" spans="3:9" x14ac:dyDescent="0.3">
      <c r="C104" s="10"/>
      <c r="D104" s="4"/>
      <c r="E104" s="4"/>
      <c r="F104" s="4"/>
      <c r="G104" s="4"/>
      <c r="H104" s="4"/>
      <c r="I104" s="85"/>
    </row>
    <row r="105" spans="3:9" x14ac:dyDescent="0.3">
      <c r="C105" s="10"/>
      <c r="D105" s="4"/>
      <c r="E105" s="4"/>
      <c r="F105" s="4"/>
      <c r="G105" s="4"/>
      <c r="H105" s="4"/>
      <c r="I105" s="85"/>
    </row>
    <row r="106" spans="3:9" x14ac:dyDescent="0.3">
      <c r="C106" s="10"/>
      <c r="D106" s="4"/>
      <c r="E106" s="4"/>
      <c r="F106" s="4"/>
      <c r="G106" s="4"/>
      <c r="H106" s="4"/>
      <c r="I106" s="85"/>
    </row>
    <row r="107" spans="3:9" ht="15" thickBot="1" x14ac:dyDescent="0.35">
      <c r="C107" s="10"/>
      <c r="D107" s="114" t="s">
        <v>32</v>
      </c>
      <c r="E107" s="114"/>
      <c r="F107" s="19" t="s">
        <v>31</v>
      </c>
      <c r="G107" s="19" t="s">
        <v>195</v>
      </c>
      <c r="H107" s="19" t="s">
        <v>194</v>
      </c>
      <c r="I107" s="88" t="s">
        <v>196</v>
      </c>
    </row>
    <row r="108" spans="3:9" ht="15" thickBot="1" x14ac:dyDescent="0.35">
      <c r="C108" s="8" t="s">
        <v>77</v>
      </c>
      <c r="D108" s="110" t="s">
        <v>143</v>
      </c>
      <c r="E108" s="111"/>
      <c r="F108" s="22">
        <f>F114*F112*F95</f>
        <v>138240</v>
      </c>
      <c r="G108" s="22">
        <f>G114*G112*G95</f>
        <v>198720</v>
      </c>
      <c r="H108" s="22">
        <f>H114*H112*H95</f>
        <v>176256</v>
      </c>
      <c r="I108" s="85" t="s">
        <v>5</v>
      </c>
    </row>
    <row r="109" spans="3:9" ht="15" thickBot="1" x14ac:dyDescent="0.35">
      <c r="C109" s="8" t="s">
        <v>145</v>
      </c>
      <c r="D109" s="110" t="s">
        <v>48</v>
      </c>
      <c r="E109" s="111"/>
      <c r="F109" s="22">
        <f>(F94*F115*((F116*7)+1))/(F112*F113)</f>
        <v>1901.0416666666667</v>
      </c>
      <c r="G109" s="22">
        <f>(G94*G115*((G116*7)+1))/(G112*G113)</f>
        <v>2186.1979166666665</v>
      </c>
      <c r="H109" s="22">
        <f>(H94*H115*((H116*7)+1))/(H112*H113)</f>
        <v>1615.8854166666667</v>
      </c>
      <c r="I109" s="85" t="s">
        <v>217</v>
      </c>
    </row>
    <row r="110" spans="3:9" ht="15" thickBot="1" x14ac:dyDescent="0.35">
      <c r="C110" s="8" t="s">
        <v>146</v>
      </c>
      <c r="D110" s="110" t="s">
        <v>49</v>
      </c>
      <c r="E110" s="111"/>
      <c r="F110" s="22">
        <f>F109/(F94*F89)</f>
        <v>1.3201678240740742</v>
      </c>
      <c r="G110" s="22">
        <f>G109/(G94*G89)</f>
        <v>1.5842013888888888</v>
      </c>
      <c r="H110" s="22">
        <f>H109/(H94*H89)</f>
        <v>1.3201678240740742</v>
      </c>
      <c r="I110" s="85" t="s">
        <v>204</v>
      </c>
    </row>
    <row r="111" spans="3:9" ht="15" thickBot="1" x14ac:dyDescent="0.35">
      <c r="C111" s="10"/>
      <c r="D111" s="4"/>
      <c r="E111" s="4"/>
      <c r="F111" s="20"/>
      <c r="G111" s="20"/>
      <c r="H111" s="20"/>
      <c r="I111" s="85"/>
    </row>
    <row r="112" spans="3:9" x14ac:dyDescent="0.3">
      <c r="C112" s="10" t="s">
        <v>45</v>
      </c>
      <c r="D112" s="110" t="s">
        <v>142</v>
      </c>
      <c r="E112" s="111"/>
      <c r="F112" s="100">
        <v>48</v>
      </c>
      <c r="G112" s="93">
        <v>48</v>
      </c>
      <c r="H112" s="93">
        <v>48</v>
      </c>
      <c r="I112" s="85" t="s">
        <v>218</v>
      </c>
    </row>
    <row r="113" spans="3:9" ht="30" customHeight="1" x14ac:dyDescent="0.3">
      <c r="C113" s="10" t="s">
        <v>100</v>
      </c>
      <c r="D113" s="112" t="s">
        <v>79</v>
      </c>
      <c r="E113" s="113"/>
      <c r="F113" s="96">
        <v>2</v>
      </c>
      <c r="G113" s="94">
        <v>2</v>
      </c>
      <c r="H113" s="94">
        <v>2</v>
      </c>
      <c r="I113" s="85"/>
    </row>
    <row r="114" spans="3:9" ht="31.2" customHeight="1" x14ac:dyDescent="0.3">
      <c r="C114" s="10" t="s">
        <v>78</v>
      </c>
      <c r="D114" s="112" t="s">
        <v>216</v>
      </c>
      <c r="E114" s="113"/>
      <c r="F114" s="96">
        <v>2</v>
      </c>
      <c r="G114" s="94">
        <v>3</v>
      </c>
      <c r="H114" s="94">
        <v>3</v>
      </c>
      <c r="I114" s="85"/>
    </row>
    <row r="115" spans="3:9" x14ac:dyDescent="0.3">
      <c r="C115" s="10" t="s">
        <v>42</v>
      </c>
      <c r="D115" s="112" t="s">
        <v>43</v>
      </c>
      <c r="E115" s="113"/>
      <c r="F115" s="38">
        <f>Equipment!G6</f>
        <v>25</v>
      </c>
      <c r="G115" s="94">
        <v>25</v>
      </c>
      <c r="H115" s="94">
        <v>25</v>
      </c>
      <c r="I115" s="85" t="s">
        <v>219</v>
      </c>
    </row>
    <row r="116" spans="3:9" x14ac:dyDescent="0.3">
      <c r="C116" s="10" t="s">
        <v>46</v>
      </c>
      <c r="D116" s="112" t="s">
        <v>47</v>
      </c>
      <c r="E116" s="113"/>
      <c r="F116" s="38">
        <v>52</v>
      </c>
      <c r="G116" s="94">
        <v>52</v>
      </c>
      <c r="H116" s="94">
        <v>52</v>
      </c>
      <c r="I116" s="85"/>
    </row>
    <row r="117" spans="3:9" ht="15" thickBot="1" x14ac:dyDescent="0.35">
      <c r="C117" s="10"/>
      <c r="D117" s="4"/>
      <c r="E117" s="4"/>
      <c r="F117" s="39"/>
      <c r="G117" s="95"/>
      <c r="H117" s="95"/>
      <c r="I117" s="85"/>
    </row>
    <row r="118" spans="3:9" ht="15" thickBot="1" x14ac:dyDescent="0.35">
      <c r="C118" s="11"/>
      <c r="D118" s="12"/>
      <c r="E118" s="12"/>
      <c r="F118" s="21"/>
      <c r="G118" s="21"/>
      <c r="H118" s="21"/>
      <c r="I118" s="86"/>
    </row>
    <row r="119" spans="3:9" x14ac:dyDescent="0.3">
      <c r="F119" s="47"/>
      <c r="G119" s="47"/>
      <c r="H119" s="47"/>
    </row>
    <row r="120" spans="3:9" x14ac:dyDescent="0.3">
      <c r="F120" s="47"/>
      <c r="G120" s="47"/>
      <c r="H120" s="47"/>
    </row>
    <row r="121" spans="3:9" ht="15" thickBot="1" x14ac:dyDescent="0.35"/>
    <row r="122" spans="3:9" ht="23.4" x14ac:dyDescent="0.3">
      <c r="C122" s="6" t="s">
        <v>133</v>
      </c>
      <c r="D122" s="7"/>
      <c r="E122" s="7"/>
      <c r="F122" s="25"/>
      <c r="G122" s="25"/>
      <c r="H122" s="25"/>
      <c r="I122" s="84"/>
    </row>
    <row r="123" spans="3:9" x14ac:dyDescent="0.3">
      <c r="C123" s="10"/>
      <c r="D123" s="4"/>
      <c r="E123" s="4"/>
      <c r="F123" s="20"/>
      <c r="G123" s="20"/>
      <c r="H123" s="20"/>
      <c r="I123" s="85"/>
    </row>
    <row r="124" spans="3:9" ht="15" thickBot="1" x14ac:dyDescent="0.35">
      <c r="C124" s="8" t="s">
        <v>40</v>
      </c>
      <c r="D124" s="9" t="s">
        <v>32</v>
      </c>
      <c r="E124" s="4"/>
      <c r="F124" s="19" t="s">
        <v>31</v>
      </c>
      <c r="G124" s="19" t="s">
        <v>195</v>
      </c>
      <c r="H124" s="19" t="s">
        <v>194</v>
      </c>
      <c r="I124" s="88" t="s">
        <v>196</v>
      </c>
    </row>
    <row r="125" spans="3:9" ht="28.8" x14ac:dyDescent="0.3">
      <c r="C125" s="70" t="s">
        <v>81</v>
      </c>
      <c r="D125" s="112" t="s">
        <v>126</v>
      </c>
      <c r="E125" s="112"/>
      <c r="F125" s="100">
        <v>200</v>
      </c>
      <c r="G125" s="106">
        <v>400</v>
      </c>
      <c r="H125" s="102">
        <v>250</v>
      </c>
      <c r="I125" s="89" t="s">
        <v>22</v>
      </c>
    </row>
    <row r="126" spans="3:9" ht="28.8" x14ac:dyDescent="0.3">
      <c r="C126" s="70" t="s">
        <v>80</v>
      </c>
      <c r="D126" s="112" t="s">
        <v>127</v>
      </c>
      <c r="E126" s="112"/>
      <c r="F126" s="33">
        <f>F125</f>
        <v>200</v>
      </c>
      <c r="G126" s="24">
        <f>G125</f>
        <v>400</v>
      </c>
      <c r="H126" s="34">
        <f>H125</f>
        <v>250</v>
      </c>
      <c r="I126" s="89"/>
    </row>
    <row r="127" spans="3:9" ht="15" thickBot="1" x14ac:dyDescent="0.35">
      <c r="C127" s="43" t="s">
        <v>125</v>
      </c>
      <c r="D127" s="9"/>
      <c r="E127" s="9"/>
      <c r="F127" s="39">
        <v>50</v>
      </c>
      <c r="G127" s="80">
        <v>50</v>
      </c>
      <c r="H127" s="81">
        <v>50</v>
      </c>
      <c r="I127" s="89" t="s">
        <v>0</v>
      </c>
    </row>
    <row r="128" spans="3:9" x14ac:dyDescent="0.3">
      <c r="C128" s="10"/>
      <c r="D128" s="4"/>
      <c r="E128" s="4"/>
      <c r="F128" s="20"/>
      <c r="G128" s="20"/>
      <c r="H128" s="20"/>
      <c r="I128" s="85"/>
    </row>
    <row r="129" spans="3:9" x14ac:dyDescent="0.3">
      <c r="C129" s="10" t="s">
        <v>168</v>
      </c>
      <c r="D129" s="4"/>
      <c r="E129" s="4"/>
      <c r="F129" s="20"/>
      <c r="G129" s="20"/>
      <c r="H129" s="20"/>
      <c r="I129" s="85"/>
    </row>
    <row r="130" spans="3:9" x14ac:dyDescent="0.3">
      <c r="C130" s="10"/>
      <c r="D130" s="4"/>
      <c r="E130" s="4"/>
      <c r="F130" s="20"/>
      <c r="G130" s="20"/>
      <c r="H130" s="20"/>
      <c r="I130" s="85"/>
    </row>
    <row r="131" spans="3:9" x14ac:dyDescent="0.3">
      <c r="C131" s="10" t="s">
        <v>220</v>
      </c>
      <c r="D131" s="4"/>
      <c r="E131" s="4"/>
      <c r="F131" s="20"/>
      <c r="G131" s="20"/>
      <c r="H131" s="20"/>
      <c r="I131" s="85"/>
    </row>
    <row r="132" spans="3:9" x14ac:dyDescent="0.3">
      <c r="C132" s="10"/>
      <c r="D132" s="4"/>
      <c r="E132" s="4"/>
      <c r="F132" s="20"/>
      <c r="G132" s="20"/>
      <c r="H132" s="20"/>
      <c r="I132" s="85"/>
    </row>
    <row r="133" spans="3:9" x14ac:dyDescent="0.3">
      <c r="C133" s="10" t="s">
        <v>169</v>
      </c>
      <c r="D133" s="4"/>
      <c r="E133" s="4"/>
      <c r="F133" s="20"/>
      <c r="G133" s="20"/>
      <c r="H133" s="20"/>
      <c r="I133" s="85"/>
    </row>
    <row r="134" spans="3:9" x14ac:dyDescent="0.3">
      <c r="C134" s="58"/>
      <c r="D134" s="4"/>
      <c r="E134" s="4"/>
      <c r="F134" s="20"/>
      <c r="G134" s="20"/>
      <c r="H134" s="20"/>
      <c r="I134" s="85"/>
    </row>
    <row r="135" spans="3:9" x14ac:dyDescent="0.3">
      <c r="C135" s="58"/>
      <c r="D135" s="9" t="s">
        <v>32</v>
      </c>
      <c r="E135" s="4"/>
      <c r="F135" s="20"/>
      <c r="G135" s="20"/>
      <c r="H135" s="20"/>
      <c r="I135" s="85"/>
    </row>
    <row r="136" spans="3:9" ht="15" thickBot="1" x14ac:dyDescent="0.35">
      <c r="C136" s="71" t="s">
        <v>95</v>
      </c>
      <c r="D136" s="4"/>
      <c r="E136" s="4"/>
      <c r="F136" s="19" t="s">
        <v>31</v>
      </c>
      <c r="G136" s="19" t="s">
        <v>195</v>
      </c>
      <c r="H136" s="19" t="s">
        <v>194</v>
      </c>
      <c r="I136" s="88" t="s">
        <v>196</v>
      </c>
    </row>
    <row r="137" spans="3:9" ht="15" thickBot="1" x14ac:dyDescent="0.35">
      <c r="C137" s="57" t="s">
        <v>96</v>
      </c>
      <c r="D137" s="4"/>
      <c r="E137" s="4"/>
      <c r="F137" s="53">
        <f>F164+F156+F148</f>
        <v>5850</v>
      </c>
      <c r="G137" s="22">
        <f>G164+G156+G148</f>
        <v>5850</v>
      </c>
      <c r="H137" s="55">
        <f>H164+H156+H148</f>
        <v>3510</v>
      </c>
      <c r="I137" s="85" t="s">
        <v>223</v>
      </c>
    </row>
    <row r="138" spans="3:9" ht="15" thickBot="1" x14ac:dyDescent="0.35">
      <c r="C138" s="57" t="s">
        <v>97</v>
      </c>
      <c r="D138" s="4"/>
      <c r="E138" s="4"/>
      <c r="F138" s="53">
        <f>F137/F95</f>
        <v>4.0625</v>
      </c>
      <c r="G138" s="22">
        <f>G137/G95</f>
        <v>4.2391304347826084</v>
      </c>
      <c r="H138" s="55">
        <f>H137/H95</f>
        <v>2.8676470588235294</v>
      </c>
      <c r="I138" s="85" t="s">
        <v>204</v>
      </c>
    </row>
    <row r="139" spans="3:9" x14ac:dyDescent="0.3">
      <c r="C139" s="10"/>
      <c r="D139" s="4"/>
      <c r="E139" s="4"/>
      <c r="F139" s="20"/>
      <c r="G139" s="20"/>
      <c r="H139" s="20"/>
      <c r="I139" s="85"/>
    </row>
    <row r="140" spans="3:9" x14ac:dyDescent="0.3">
      <c r="C140" s="10" t="s">
        <v>152</v>
      </c>
      <c r="D140" s="4"/>
      <c r="E140" s="4"/>
      <c r="F140" s="20"/>
      <c r="G140" s="20"/>
      <c r="H140" s="20"/>
      <c r="I140" s="85"/>
    </row>
    <row r="141" spans="3:9" x14ac:dyDescent="0.3">
      <c r="C141" s="10" t="s">
        <v>253</v>
      </c>
      <c r="D141" s="4"/>
      <c r="E141" s="4"/>
      <c r="F141" s="20"/>
      <c r="G141" s="20"/>
      <c r="H141" s="20"/>
      <c r="I141" s="85"/>
    </row>
    <row r="142" spans="3:9" x14ac:dyDescent="0.3">
      <c r="C142" s="10"/>
      <c r="D142" s="4"/>
      <c r="E142" s="4"/>
      <c r="F142" s="20"/>
      <c r="G142" s="20"/>
      <c r="H142" s="20"/>
      <c r="I142" s="85"/>
    </row>
    <row r="143" spans="3:9" ht="15" thickBot="1" x14ac:dyDescent="0.35">
      <c r="C143" s="72" t="s">
        <v>183</v>
      </c>
      <c r="D143" s="4"/>
      <c r="E143" s="4"/>
      <c r="F143" s="20"/>
      <c r="G143" s="20"/>
      <c r="H143" s="20"/>
      <c r="I143" s="85"/>
    </row>
    <row r="144" spans="3:9" ht="28.2" customHeight="1" x14ac:dyDescent="0.3">
      <c r="C144" s="57" t="s">
        <v>224</v>
      </c>
      <c r="D144" s="112" t="s">
        <v>225</v>
      </c>
      <c r="E144" s="112"/>
      <c r="F144" s="37">
        <v>585</v>
      </c>
      <c r="G144" s="106">
        <v>585</v>
      </c>
      <c r="H144" s="102">
        <v>585</v>
      </c>
      <c r="I144" s="85" t="s">
        <v>221</v>
      </c>
    </row>
    <row r="145" spans="3:9" x14ac:dyDescent="0.3">
      <c r="C145" s="57" t="s">
        <v>170</v>
      </c>
      <c r="D145" s="112" t="s">
        <v>151</v>
      </c>
      <c r="E145" s="112"/>
      <c r="F145" s="38">
        <v>1</v>
      </c>
      <c r="G145" s="107">
        <v>1</v>
      </c>
      <c r="H145" s="97">
        <v>1</v>
      </c>
      <c r="I145" s="85" t="s">
        <v>86</v>
      </c>
    </row>
    <row r="146" spans="3:9" ht="28.2" customHeight="1" x14ac:dyDescent="0.3">
      <c r="C146" s="73" t="s">
        <v>171</v>
      </c>
      <c r="D146" s="112" t="s">
        <v>228</v>
      </c>
      <c r="E146" s="112"/>
      <c r="F146" s="38">
        <v>12</v>
      </c>
      <c r="G146" s="107">
        <v>8</v>
      </c>
      <c r="H146" s="97">
        <v>0</v>
      </c>
      <c r="I146" s="85" t="s">
        <v>4</v>
      </c>
    </row>
    <row r="147" spans="3:9" ht="28.8" x14ac:dyDescent="0.3">
      <c r="C147" s="73" t="s">
        <v>172</v>
      </c>
      <c r="D147" s="112" t="s">
        <v>222</v>
      </c>
      <c r="E147" s="112"/>
      <c r="F147" s="33">
        <f>IF(F146&gt;0,IF(((F146)/8)-ROUNDDOWN((F146)/8,0)&gt;=0.5,ROUNDUP((F146)/8,0),(F146)/8),0)</f>
        <v>2</v>
      </c>
      <c r="G147" s="24">
        <f t="shared" ref="G147:H147" si="2">IF(G146&gt;0,IF(((G146+1+1)/8)-ROUNDDOWN((G146+1+1)/8,0)&gt;=0.5,ROUNDUP((G146+1+1)/8,0),(G146+1+1)/8),0)</f>
        <v>1.25</v>
      </c>
      <c r="H147" s="34">
        <f t="shared" si="2"/>
        <v>0</v>
      </c>
      <c r="I147" s="85" t="s">
        <v>85</v>
      </c>
    </row>
    <row r="148" spans="3:9" ht="15" thickBot="1" x14ac:dyDescent="0.35">
      <c r="C148" s="57" t="s">
        <v>176</v>
      </c>
      <c r="D148" s="4"/>
      <c r="E148" s="4"/>
      <c r="F148" s="35">
        <f>F147*F145*F144</f>
        <v>1170</v>
      </c>
      <c r="G148" s="79">
        <f t="shared" ref="G148:H148" si="3">G147*G145*G144</f>
        <v>731.25</v>
      </c>
      <c r="H148" s="36">
        <f t="shared" si="3"/>
        <v>0</v>
      </c>
      <c r="I148" s="85" t="s">
        <v>223</v>
      </c>
    </row>
    <row r="149" spans="3:9" x14ac:dyDescent="0.3">
      <c r="C149" s="57"/>
      <c r="D149" s="4"/>
      <c r="E149" s="4"/>
      <c r="F149" s="20"/>
      <c r="G149" s="20"/>
      <c r="H149" s="20"/>
      <c r="I149" s="85"/>
    </row>
    <row r="150" spans="3:9" x14ac:dyDescent="0.3">
      <c r="C150" s="57"/>
      <c r="D150" s="4"/>
      <c r="E150" s="4"/>
      <c r="F150" s="20"/>
      <c r="G150" s="20"/>
      <c r="H150" s="20"/>
      <c r="I150" s="85"/>
    </row>
    <row r="151" spans="3:9" ht="15" thickBot="1" x14ac:dyDescent="0.35">
      <c r="C151" s="72" t="s">
        <v>174</v>
      </c>
      <c r="D151" s="4"/>
      <c r="E151" s="4"/>
      <c r="F151" s="20"/>
      <c r="G151" s="20"/>
      <c r="H151" s="20"/>
      <c r="I151" s="85"/>
    </row>
    <row r="152" spans="3:9" ht="29.4" customHeight="1" x14ac:dyDescent="0.3">
      <c r="C152" s="73" t="s">
        <v>224</v>
      </c>
      <c r="D152" s="112" t="s">
        <v>225</v>
      </c>
      <c r="E152" s="112"/>
      <c r="F152" s="37">
        <v>585</v>
      </c>
      <c r="G152" s="106">
        <v>585</v>
      </c>
      <c r="H152" s="102">
        <v>585</v>
      </c>
      <c r="I152" s="85" t="s">
        <v>221</v>
      </c>
    </row>
    <row r="153" spans="3:9" ht="29.4" customHeight="1" x14ac:dyDescent="0.3">
      <c r="C153" s="73" t="s">
        <v>170</v>
      </c>
      <c r="D153" s="112" t="s">
        <v>153</v>
      </c>
      <c r="E153" s="112"/>
      <c r="F153" s="38">
        <v>2</v>
      </c>
      <c r="G153" s="107">
        <v>2</v>
      </c>
      <c r="H153" s="97">
        <v>2</v>
      </c>
      <c r="I153" s="85" t="s">
        <v>86</v>
      </c>
    </row>
    <row r="154" spans="3:9" ht="61.8" customHeight="1" x14ac:dyDescent="0.3">
      <c r="C154" s="73" t="s">
        <v>171</v>
      </c>
      <c r="D154" s="112" t="s">
        <v>226</v>
      </c>
      <c r="E154" s="112"/>
      <c r="F154" s="33">
        <f>(1+1+(F125+F126)/F127)</f>
        <v>10</v>
      </c>
      <c r="G154" s="24">
        <f>(1+8+1+(G125+G126)/G127)</f>
        <v>26</v>
      </c>
      <c r="H154" s="34">
        <f>(1+8+1+(H125+H126)/H127)</f>
        <v>20</v>
      </c>
      <c r="I154" s="85" t="s">
        <v>4</v>
      </c>
    </row>
    <row r="155" spans="3:9" ht="61.2" customHeight="1" x14ac:dyDescent="0.3">
      <c r="C155" s="73" t="s">
        <v>172</v>
      </c>
      <c r="D155" s="112" t="s">
        <v>227</v>
      </c>
      <c r="E155" s="112"/>
      <c r="F155" s="33">
        <f>IF(F154&gt;0,IF(((F154+1+1)/8)-ROUNDDOWN((F154+1+1)/8,0)&gt;=0.5,ROUNDUP((F154+1+1)/8,0),(F154+1+1)/8),0)</f>
        <v>2</v>
      </c>
      <c r="G155" s="24">
        <f t="shared" ref="G155:H155" si="4">IF(G154&gt;0,IF(((G154+1+1)/8)-ROUNDDOWN((G154+1+1)/8,0)&gt;=0.5,ROUNDUP((G154+1+1)/8,0),(G154+1+1)/8),0)</f>
        <v>4</v>
      </c>
      <c r="H155" s="34">
        <f t="shared" si="4"/>
        <v>3</v>
      </c>
      <c r="I155" s="85" t="s">
        <v>85</v>
      </c>
    </row>
    <row r="156" spans="3:9" ht="15" thickBot="1" x14ac:dyDescent="0.35">
      <c r="C156" s="73" t="s">
        <v>177</v>
      </c>
      <c r="D156" s="26"/>
      <c r="E156" s="4"/>
      <c r="F156" s="35">
        <f>F155*F153*F152</f>
        <v>2340</v>
      </c>
      <c r="G156" s="79">
        <f t="shared" ref="G156:H156" si="5">G155*G153*G152</f>
        <v>4680</v>
      </c>
      <c r="H156" s="36">
        <f t="shared" si="5"/>
        <v>3510</v>
      </c>
      <c r="I156" s="85" t="s">
        <v>223</v>
      </c>
    </row>
    <row r="157" spans="3:9" x14ac:dyDescent="0.3">
      <c r="C157" s="57"/>
      <c r="D157" s="26"/>
      <c r="E157" s="4"/>
      <c r="F157" s="20"/>
      <c r="G157" s="20"/>
      <c r="H157" s="20"/>
      <c r="I157" s="85"/>
    </row>
    <row r="158" spans="3:9" x14ac:dyDescent="0.3">
      <c r="C158" s="57"/>
      <c r="D158" s="26"/>
      <c r="E158" s="4"/>
      <c r="F158" s="20"/>
      <c r="G158" s="20"/>
      <c r="H158" s="20"/>
      <c r="I158" s="85"/>
    </row>
    <row r="159" spans="3:9" ht="15" thickBot="1" x14ac:dyDescent="0.35">
      <c r="C159" s="72" t="s">
        <v>184</v>
      </c>
      <c r="D159" s="26"/>
      <c r="E159" s="4"/>
      <c r="F159" s="20"/>
      <c r="G159" s="20"/>
      <c r="H159" s="20"/>
      <c r="I159" s="85"/>
    </row>
    <row r="160" spans="3:9" x14ac:dyDescent="0.3">
      <c r="C160" s="73" t="s">
        <v>224</v>
      </c>
      <c r="D160" s="112" t="s">
        <v>225</v>
      </c>
      <c r="E160" s="112"/>
      <c r="F160" s="37">
        <v>585</v>
      </c>
      <c r="G160" s="106">
        <v>585</v>
      </c>
      <c r="H160" s="102">
        <v>585</v>
      </c>
      <c r="I160" s="85" t="s">
        <v>221</v>
      </c>
    </row>
    <row r="161" spans="3:9" ht="33" customHeight="1" x14ac:dyDescent="0.3">
      <c r="C161" s="73" t="s">
        <v>170</v>
      </c>
      <c r="D161" s="112" t="s">
        <v>173</v>
      </c>
      <c r="E161" s="112"/>
      <c r="F161" s="38">
        <v>2</v>
      </c>
      <c r="G161" s="107">
        <v>2</v>
      </c>
      <c r="H161" s="97">
        <v>0</v>
      </c>
      <c r="I161" s="85" t="s">
        <v>86</v>
      </c>
    </row>
    <row r="162" spans="3:9" ht="28.8" x14ac:dyDescent="0.3">
      <c r="C162" s="73" t="s">
        <v>171</v>
      </c>
      <c r="D162" s="112" t="s">
        <v>228</v>
      </c>
      <c r="E162" s="112"/>
      <c r="F162" s="38">
        <v>12</v>
      </c>
      <c r="G162" s="107">
        <v>1</v>
      </c>
      <c r="H162" s="97">
        <v>1</v>
      </c>
      <c r="I162" s="85" t="s">
        <v>4</v>
      </c>
    </row>
    <row r="163" spans="3:9" ht="28.8" x14ac:dyDescent="0.3">
      <c r="C163" s="73" t="s">
        <v>172</v>
      </c>
      <c r="D163" s="112" t="s">
        <v>222</v>
      </c>
      <c r="E163" s="112"/>
      <c r="F163" s="33">
        <f>IF(F162&gt;0,IF(((F162+1+1)/8)-ROUNDDOWN((F162+1+1)/8,0)&gt;=0.5,ROUNDUP((F162+1+1)/8,0),(F162+1+1)/8),0)</f>
        <v>2</v>
      </c>
      <c r="G163" s="24">
        <f t="shared" ref="G163:H163" si="6">IF(G162&gt;0,IF(((G162+1+1)/8)-ROUNDDOWN((G162+1+1)/8,0)&gt;=0.5,ROUNDUP((G162+1+1)/8,0),(G162+1+1)/8),0)</f>
        <v>0.375</v>
      </c>
      <c r="H163" s="34">
        <f t="shared" si="6"/>
        <v>0.375</v>
      </c>
      <c r="I163" s="85" t="s">
        <v>85</v>
      </c>
    </row>
    <row r="164" spans="3:9" ht="15" thickBot="1" x14ac:dyDescent="0.35">
      <c r="C164" s="73" t="s">
        <v>175</v>
      </c>
      <c r="D164" s="4"/>
      <c r="E164" s="4"/>
      <c r="F164" s="35">
        <f>F163*F161*F160</f>
        <v>2340</v>
      </c>
      <c r="G164" s="79">
        <f t="shared" ref="G164:H164" si="7">G163*G161*G160</f>
        <v>438.75</v>
      </c>
      <c r="H164" s="36">
        <f t="shared" si="7"/>
        <v>0</v>
      </c>
      <c r="I164" s="85" t="s">
        <v>223</v>
      </c>
    </row>
    <row r="165" spans="3:9" x14ac:dyDescent="0.3">
      <c r="C165" s="58"/>
      <c r="D165" s="4"/>
      <c r="E165" s="4"/>
      <c r="F165" s="20"/>
      <c r="G165" s="20"/>
      <c r="H165" s="20"/>
      <c r="I165" s="85"/>
    </row>
    <row r="166" spans="3:9" x14ac:dyDescent="0.3">
      <c r="C166" s="58"/>
      <c r="D166" s="4"/>
      <c r="E166" s="4"/>
      <c r="F166" s="20"/>
      <c r="G166" s="20"/>
      <c r="H166" s="20"/>
      <c r="I166" s="85"/>
    </row>
    <row r="167" spans="3:9" x14ac:dyDescent="0.3">
      <c r="C167" s="58"/>
      <c r="D167" s="4"/>
      <c r="E167" s="4"/>
      <c r="F167" s="20"/>
      <c r="G167" s="20"/>
      <c r="H167" s="20"/>
      <c r="I167" s="85"/>
    </row>
    <row r="168" spans="3:9" ht="15" thickBot="1" x14ac:dyDescent="0.35">
      <c r="C168" s="8" t="s">
        <v>98</v>
      </c>
      <c r="D168" s="9" t="s">
        <v>32</v>
      </c>
      <c r="E168" s="4"/>
      <c r="F168" s="19" t="s">
        <v>31</v>
      </c>
      <c r="G168" s="19" t="s">
        <v>195</v>
      </c>
      <c r="H168" s="19" t="s">
        <v>194</v>
      </c>
      <c r="I168" s="88" t="s">
        <v>196</v>
      </c>
    </row>
    <row r="169" spans="3:9" ht="15" thickBot="1" x14ac:dyDescent="0.35">
      <c r="C169" s="57" t="s">
        <v>99</v>
      </c>
      <c r="D169" s="4"/>
      <c r="E169" s="4"/>
      <c r="F169" s="53">
        <f>F195+F179+F185+F175+F191</f>
        <v>2749</v>
      </c>
      <c r="G169" s="54">
        <f>G195+G185+G175</f>
        <v>1910</v>
      </c>
      <c r="H169" s="55">
        <f>H195+H185+H175</f>
        <v>1526</v>
      </c>
      <c r="I169" s="85" t="s">
        <v>223</v>
      </c>
    </row>
    <row r="170" spans="3:9" ht="15" thickBot="1" x14ac:dyDescent="0.35">
      <c r="C170" s="57" t="s">
        <v>229</v>
      </c>
      <c r="D170" s="4"/>
      <c r="E170" s="4"/>
      <c r="F170" s="53">
        <f>F169/F95</f>
        <v>1.9090277777777778</v>
      </c>
      <c r="G170" s="54">
        <f>G169/G95</f>
        <v>1.3840579710144927</v>
      </c>
      <c r="H170" s="55">
        <f>H169/H95</f>
        <v>1.2467320261437909</v>
      </c>
      <c r="I170" s="85" t="s">
        <v>204</v>
      </c>
    </row>
    <row r="171" spans="3:9" x14ac:dyDescent="0.3">
      <c r="C171" s="57"/>
      <c r="D171" s="4"/>
      <c r="E171" s="4"/>
      <c r="F171" s="20"/>
      <c r="G171" s="20"/>
      <c r="H171" s="20"/>
      <c r="I171" s="85"/>
    </row>
    <row r="172" spans="3:9" ht="15" thickBot="1" x14ac:dyDescent="0.35">
      <c r="C172" s="72" t="s">
        <v>185</v>
      </c>
      <c r="D172" s="4"/>
      <c r="E172" s="4"/>
      <c r="F172" s="20"/>
      <c r="G172" s="20"/>
      <c r="H172" s="20"/>
      <c r="I172" s="85"/>
    </row>
    <row r="173" spans="3:9" x14ac:dyDescent="0.3">
      <c r="C173" s="57" t="s">
        <v>240</v>
      </c>
      <c r="D173" s="112" t="s">
        <v>178</v>
      </c>
      <c r="E173" s="112"/>
      <c r="F173" s="37">
        <v>328</v>
      </c>
      <c r="G173" s="106">
        <v>328</v>
      </c>
      <c r="H173" s="102">
        <v>328</v>
      </c>
      <c r="I173" s="85" t="s">
        <v>221</v>
      </c>
    </row>
    <row r="174" spans="3:9" x14ac:dyDescent="0.3">
      <c r="C174" s="57" t="s">
        <v>238</v>
      </c>
      <c r="D174" s="112" t="s">
        <v>230</v>
      </c>
      <c r="E174" s="112"/>
      <c r="F174" s="38">
        <f>F146</f>
        <v>12</v>
      </c>
      <c r="G174" s="107">
        <v>3</v>
      </c>
      <c r="H174" s="97">
        <v>3</v>
      </c>
      <c r="I174" s="85" t="s">
        <v>4</v>
      </c>
    </row>
    <row r="175" spans="3:9" ht="15" thickBot="1" x14ac:dyDescent="0.35">
      <c r="C175" s="57" t="s">
        <v>239</v>
      </c>
      <c r="D175" s="74"/>
      <c r="E175" s="74"/>
      <c r="F175" s="35">
        <f>F174*F173/8</f>
        <v>492</v>
      </c>
      <c r="G175" s="79">
        <f t="shared" ref="G175:H175" si="8">G174*G173/8</f>
        <v>123</v>
      </c>
      <c r="H175" s="36">
        <f t="shared" si="8"/>
        <v>123</v>
      </c>
      <c r="I175" s="85" t="s">
        <v>223</v>
      </c>
    </row>
    <row r="176" spans="3:9" ht="15" thickBot="1" x14ac:dyDescent="0.35">
      <c r="C176" s="57"/>
      <c r="D176" s="74"/>
      <c r="E176" s="74"/>
      <c r="F176" s="20"/>
      <c r="G176" s="20"/>
      <c r="H176" s="20"/>
      <c r="I176" s="85"/>
    </row>
    <row r="177" spans="3:9" x14ac:dyDescent="0.3">
      <c r="C177" s="57" t="s">
        <v>241</v>
      </c>
      <c r="D177" s="74" t="s">
        <v>231</v>
      </c>
      <c r="E177" s="74"/>
      <c r="F177" s="37">
        <v>375</v>
      </c>
      <c r="G177" s="106">
        <v>375</v>
      </c>
      <c r="H177" s="102">
        <v>375</v>
      </c>
      <c r="I177" s="85" t="s">
        <v>221</v>
      </c>
    </row>
    <row r="178" spans="3:9" x14ac:dyDescent="0.3">
      <c r="C178" s="57" t="s">
        <v>235</v>
      </c>
      <c r="D178" s="112" t="s">
        <v>230</v>
      </c>
      <c r="E178" s="112"/>
      <c r="F178" s="33">
        <f>F146</f>
        <v>12</v>
      </c>
      <c r="G178" s="24">
        <f t="shared" ref="G178:H178" si="9">G148</f>
        <v>731.25</v>
      </c>
      <c r="H178" s="34">
        <f t="shared" si="9"/>
        <v>0</v>
      </c>
      <c r="I178" s="85" t="s">
        <v>4</v>
      </c>
    </row>
    <row r="179" spans="3:9" ht="15" thickBot="1" x14ac:dyDescent="0.35">
      <c r="C179" s="57" t="s">
        <v>236</v>
      </c>
      <c r="D179" s="74"/>
      <c r="E179" s="74"/>
      <c r="F179" s="35">
        <f>F177*F178/8</f>
        <v>562.5</v>
      </c>
      <c r="G179" s="79">
        <f t="shared" ref="G179:H179" si="10">G177*G178/8</f>
        <v>34277.34375</v>
      </c>
      <c r="H179" s="36">
        <f t="shared" si="10"/>
        <v>0</v>
      </c>
      <c r="I179" s="85" t="s">
        <v>223</v>
      </c>
    </row>
    <row r="180" spans="3:9" x14ac:dyDescent="0.3">
      <c r="C180" s="57"/>
      <c r="D180" s="75"/>
      <c r="E180" s="74"/>
      <c r="F180" s="20"/>
      <c r="G180" s="20"/>
      <c r="H180" s="20"/>
      <c r="I180" s="85"/>
    </row>
    <row r="181" spans="3:9" x14ac:dyDescent="0.3">
      <c r="C181" s="57"/>
      <c r="D181" s="75"/>
      <c r="E181" s="74"/>
      <c r="F181" s="20"/>
      <c r="G181" s="20"/>
      <c r="H181" s="20"/>
      <c r="I181" s="85"/>
    </row>
    <row r="182" spans="3:9" ht="15" thickBot="1" x14ac:dyDescent="0.35">
      <c r="C182" s="72" t="s">
        <v>174</v>
      </c>
      <c r="D182" s="75"/>
      <c r="E182" s="74"/>
      <c r="F182" s="20"/>
      <c r="G182" s="20"/>
      <c r="H182" s="20"/>
      <c r="I182" s="85"/>
    </row>
    <row r="183" spans="3:9" x14ac:dyDescent="0.3">
      <c r="C183" s="57" t="s">
        <v>181</v>
      </c>
      <c r="D183" s="74" t="s">
        <v>179</v>
      </c>
      <c r="E183" s="74"/>
      <c r="F183" s="37">
        <v>512</v>
      </c>
      <c r="G183" s="106">
        <v>512</v>
      </c>
      <c r="H183" s="102">
        <v>512</v>
      </c>
      <c r="I183" s="85" t="s">
        <v>221</v>
      </c>
    </row>
    <row r="184" spans="3:9" x14ac:dyDescent="0.3">
      <c r="C184" s="57" t="s">
        <v>182</v>
      </c>
      <c r="D184" s="74"/>
      <c r="E184" s="74"/>
      <c r="F184" s="33">
        <f>F154</f>
        <v>10</v>
      </c>
      <c r="G184" s="24">
        <f>G154</f>
        <v>26</v>
      </c>
      <c r="H184" s="34">
        <f>H154</f>
        <v>20</v>
      </c>
      <c r="I184" s="85" t="s">
        <v>4</v>
      </c>
    </row>
    <row r="185" spans="3:9" ht="15" thickBot="1" x14ac:dyDescent="0.35">
      <c r="C185" s="57" t="s">
        <v>87</v>
      </c>
      <c r="D185" s="74"/>
      <c r="E185" s="74"/>
      <c r="F185" s="35">
        <f>F183*F184/8</f>
        <v>640</v>
      </c>
      <c r="G185" s="79">
        <f t="shared" ref="G185:H185" si="11">G183*G184/8</f>
        <v>1664</v>
      </c>
      <c r="H185" s="36">
        <f t="shared" si="11"/>
        <v>1280</v>
      </c>
      <c r="I185" s="85" t="s">
        <v>223</v>
      </c>
    </row>
    <row r="186" spans="3:9" x14ac:dyDescent="0.3">
      <c r="C186" s="57"/>
      <c r="D186" s="75"/>
      <c r="E186" s="74"/>
      <c r="F186" s="20"/>
      <c r="G186" s="20"/>
      <c r="H186" s="20"/>
      <c r="I186" s="85"/>
    </row>
    <row r="187" spans="3:9" x14ac:dyDescent="0.3">
      <c r="C187" s="57"/>
      <c r="D187" s="75"/>
      <c r="E187" s="74"/>
      <c r="F187" s="20"/>
      <c r="G187" s="20"/>
      <c r="H187" s="20"/>
      <c r="I187" s="85"/>
    </row>
    <row r="188" spans="3:9" ht="15" thickBot="1" x14ac:dyDescent="0.35">
      <c r="C188" s="72" t="s">
        <v>184</v>
      </c>
      <c r="D188" s="75"/>
      <c r="E188" s="74"/>
      <c r="F188" s="20"/>
      <c r="G188" s="20"/>
      <c r="H188" s="20"/>
      <c r="I188" s="85"/>
    </row>
    <row r="189" spans="3:9" ht="30" customHeight="1" x14ac:dyDescent="0.3">
      <c r="C189" s="57" t="s">
        <v>234</v>
      </c>
      <c r="D189" s="112" t="s">
        <v>232</v>
      </c>
      <c r="E189" s="112"/>
      <c r="F189" s="37">
        <v>375</v>
      </c>
      <c r="G189" s="106">
        <v>375</v>
      </c>
      <c r="H189" s="102">
        <v>375</v>
      </c>
      <c r="I189" s="85" t="s">
        <v>221</v>
      </c>
    </row>
    <row r="190" spans="3:9" ht="45.6" customHeight="1" x14ac:dyDescent="0.3">
      <c r="C190" s="57" t="s">
        <v>235</v>
      </c>
      <c r="D190" s="112" t="s">
        <v>233</v>
      </c>
      <c r="E190" s="112"/>
      <c r="F190" s="33">
        <f>F162</f>
        <v>12</v>
      </c>
      <c r="G190" s="24">
        <f>G160</f>
        <v>585</v>
      </c>
      <c r="H190" s="34">
        <f>H160</f>
        <v>585</v>
      </c>
      <c r="I190" s="85" t="s">
        <v>4</v>
      </c>
    </row>
    <row r="191" spans="3:9" ht="15" thickBot="1" x14ac:dyDescent="0.35">
      <c r="C191" s="57" t="s">
        <v>236</v>
      </c>
      <c r="D191" s="74"/>
      <c r="E191" s="74"/>
      <c r="F191" s="35">
        <f>F189*F190/8</f>
        <v>562.5</v>
      </c>
      <c r="G191" s="79">
        <f t="shared" ref="G191:H191" si="12">G189*G190/8</f>
        <v>27421.875</v>
      </c>
      <c r="H191" s="36">
        <f t="shared" si="12"/>
        <v>27421.875</v>
      </c>
      <c r="I191" s="85" t="s">
        <v>223</v>
      </c>
    </row>
    <row r="192" spans="3:9" ht="15" thickBot="1" x14ac:dyDescent="0.35">
      <c r="C192" s="57"/>
      <c r="D192" s="75"/>
      <c r="E192" s="74"/>
      <c r="F192" s="20"/>
      <c r="G192" s="20"/>
      <c r="H192" s="20"/>
      <c r="I192" s="85"/>
    </row>
    <row r="193" spans="3:9" x14ac:dyDescent="0.3">
      <c r="C193" s="57" t="s">
        <v>237</v>
      </c>
      <c r="D193" s="74" t="s">
        <v>180</v>
      </c>
      <c r="E193" s="74"/>
      <c r="F193" s="37">
        <v>328</v>
      </c>
      <c r="G193" s="106">
        <v>328</v>
      </c>
      <c r="H193" s="102">
        <v>328</v>
      </c>
      <c r="I193" s="85" t="s">
        <v>221</v>
      </c>
    </row>
    <row r="194" spans="3:9" x14ac:dyDescent="0.3">
      <c r="C194" s="57" t="s">
        <v>238</v>
      </c>
      <c r="D194" s="74"/>
      <c r="E194" s="74"/>
      <c r="F194" s="38">
        <f>F162</f>
        <v>12</v>
      </c>
      <c r="G194" s="107">
        <v>3</v>
      </c>
      <c r="H194" s="97">
        <v>3</v>
      </c>
      <c r="I194" s="85" t="s">
        <v>4</v>
      </c>
    </row>
    <row r="195" spans="3:9" ht="15" thickBot="1" x14ac:dyDescent="0.35">
      <c r="C195" s="57" t="s">
        <v>239</v>
      </c>
      <c r="D195" s="4"/>
      <c r="E195" s="4"/>
      <c r="F195" s="35">
        <f>F193*F194/8</f>
        <v>492</v>
      </c>
      <c r="G195" s="79">
        <f t="shared" ref="G195:H195" si="13">G193*G194/8</f>
        <v>123</v>
      </c>
      <c r="H195" s="36">
        <f t="shared" si="13"/>
        <v>123</v>
      </c>
      <c r="I195" s="85" t="s">
        <v>223</v>
      </c>
    </row>
    <row r="196" spans="3:9" x14ac:dyDescent="0.3">
      <c r="C196" s="58"/>
      <c r="D196" s="4"/>
      <c r="E196" s="4"/>
      <c r="F196" s="20"/>
      <c r="G196" s="20"/>
      <c r="H196" s="20"/>
      <c r="I196" s="85"/>
    </row>
    <row r="197" spans="3:9" ht="15" thickBot="1" x14ac:dyDescent="0.35">
      <c r="C197" s="10"/>
      <c r="D197" s="9" t="s">
        <v>32</v>
      </c>
      <c r="E197" s="4"/>
      <c r="F197" s="19" t="s">
        <v>31</v>
      </c>
      <c r="G197" s="19" t="s">
        <v>195</v>
      </c>
      <c r="H197" s="19" t="s">
        <v>194</v>
      </c>
      <c r="I197" s="88" t="s">
        <v>192</v>
      </c>
    </row>
    <row r="198" spans="3:9" ht="15" thickBot="1" x14ac:dyDescent="0.35">
      <c r="C198" s="71" t="s">
        <v>144</v>
      </c>
      <c r="D198" s="56"/>
      <c r="E198" s="4"/>
      <c r="F198" s="53">
        <f>((F200*F201)+(F202*F203))/F95</f>
        <v>0.38409075655555563</v>
      </c>
      <c r="G198" s="22">
        <f>((G200*G201)+(G202*G203))/G95</f>
        <v>1.0914357817971014</v>
      </c>
      <c r="H198" s="55">
        <f>((H200*H201)+(H202*H203))/H95</f>
        <v>0.97333607990196092</v>
      </c>
      <c r="I198" s="85" t="s">
        <v>204</v>
      </c>
    </row>
    <row r="199" spans="3:9" ht="15" thickBot="1" x14ac:dyDescent="0.35">
      <c r="C199" s="57"/>
      <c r="D199" s="56"/>
      <c r="E199" s="4"/>
      <c r="F199" s="20"/>
      <c r="G199" s="20"/>
      <c r="H199" s="20"/>
      <c r="I199" s="88"/>
    </row>
    <row r="200" spans="3:9" x14ac:dyDescent="0.3">
      <c r="C200" s="57" t="s">
        <v>188</v>
      </c>
      <c r="D200" s="26"/>
      <c r="E200" s="4"/>
      <c r="F200" s="31">
        <f>F125</f>
        <v>200</v>
      </c>
      <c r="G200" s="31">
        <f>G125</f>
        <v>400</v>
      </c>
      <c r="H200" s="31">
        <f>H125</f>
        <v>250</v>
      </c>
      <c r="I200" s="85" t="s">
        <v>22</v>
      </c>
    </row>
    <row r="201" spans="3:9" x14ac:dyDescent="0.3">
      <c r="C201" s="57" t="s">
        <v>186</v>
      </c>
      <c r="D201" s="26"/>
      <c r="E201" s="4"/>
      <c r="F201" s="38">
        <f>2.1*(1+0.018)^3</f>
        <v>2.2154534472000003</v>
      </c>
      <c r="G201" s="38">
        <f t="shared" ref="G201:H201" si="14">2.1*(1+0.018)^3</f>
        <v>2.2154534472000003</v>
      </c>
      <c r="H201" s="38">
        <f t="shared" si="14"/>
        <v>2.2154534472000003</v>
      </c>
      <c r="I201" s="85" t="s">
        <v>242</v>
      </c>
    </row>
    <row r="202" spans="3:9" x14ac:dyDescent="0.3">
      <c r="C202" s="57" t="s">
        <v>187</v>
      </c>
      <c r="D202" s="26"/>
      <c r="E202" s="4"/>
      <c r="F202" s="33">
        <f>F126</f>
        <v>200</v>
      </c>
      <c r="G202" s="33">
        <f>G125</f>
        <v>400</v>
      </c>
      <c r="H202" s="33">
        <f>H125</f>
        <v>250</v>
      </c>
      <c r="I202" s="85" t="s">
        <v>22</v>
      </c>
    </row>
    <row r="203" spans="3:9" x14ac:dyDescent="0.3">
      <c r="C203" s="57" t="s">
        <v>189</v>
      </c>
      <c r="D203" s="26"/>
      <c r="E203" s="4"/>
      <c r="F203" s="38">
        <v>0.55000000000000004</v>
      </c>
      <c r="G203" s="38">
        <v>1.55</v>
      </c>
      <c r="H203" s="38">
        <v>2.5499999999999998</v>
      </c>
      <c r="I203" s="85" t="s">
        <v>242</v>
      </c>
    </row>
    <row r="204" spans="3:9" x14ac:dyDescent="0.3">
      <c r="C204" s="10" t="s">
        <v>190</v>
      </c>
      <c r="D204" s="26"/>
      <c r="E204" s="4"/>
      <c r="F204" s="38">
        <v>19</v>
      </c>
      <c r="G204" s="38">
        <v>19</v>
      </c>
      <c r="H204" s="38">
        <v>19</v>
      </c>
      <c r="I204" s="85" t="s">
        <v>243</v>
      </c>
    </row>
    <row r="205" spans="3:9" x14ac:dyDescent="0.3">
      <c r="C205" s="10" t="s">
        <v>245</v>
      </c>
      <c r="D205" s="76" t="s">
        <v>246</v>
      </c>
      <c r="E205" s="4"/>
      <c r="F205" s="38">
        <v>0.75</v>
      </c>
      <c r="G205" s="38">
        <v>0.75</v>
      </c>
      <c r="H205" s="38">
        <v>0.75</v>
      </c>
      <c r="I205" s="85" t="s">
        <v>244</v>
      </c>
    </row>
    <row r="206" spans="3:9" x14ac:dyDescent="0.3">
      <c r="C206" s="10" t="s">
        <v>247</v>
      </c>
      <c r="D206" s="110" t="s">
        <v>248</v>
      </c>
      <c r="E206" s="111"/>
      <c r="F206" s="33">
        <f>F146*F145+F154*F153+F161*F162</f>
        <v>56</v>
      </c>
      <c r="G206" s="33">
        <f>G146*G145+G154*G153+G161*G162</f>
        <v>62</v>
      </c>
      <c r="H206" s="33">
        <f>H146*H145+H154*H153+H161*H162</f>
        <v>40</v>
      </c>
      <c r="I206" s="85" t="s">
        <v>4</v>
      </c>
    </row>
    <row r="207" spans="3:9" ht="15" thickBot="1" x14ac:dyDescent="0.35">
      <c r="C207" s="10" t="s">
        <v>191</v>
      </c>
      <c r="D207" s="26"/>
      <c r="E207" s="4"/>
      <c r="F207" s="35">
        <f>(F200*F201*F153)+(F202*F203*F153)+F204*F205*F206</f>
        <v>1904.1813788800002</v>
      </c>
      <c r="G207" s="35">
        <f>(G200*G201*G153)+(G202*G203*G153)+G204*G205*G206</f>
        <v>3895.86275776</v>
      </c>
      <c r="H207" s="35">
        <f>(H200*H201*H153)+(H202*H203*H153)+H204*H205*H206</f>
        <v>2952.7267236000002</v>
      </c>
      <c r="I207" s="85" t="s">
        <v>203</v>
      </c>
    </row>
    <row r="208" spans="3:9" x14ac:dyDescent="0.3">
      <c r="C208" s="58"/>
      <c r="D208" s="26"/>
      <c r="E208" s="4"/>
      <c r="F208" s="4"/>
      <c r="G208" s="4"/>
      <c r="H208" s="4"/>
      <c r="I208" s="85"/>
    </row>
    <row r="209" spans="3:9" x14ac:dyDescent="0.3">
      <c r="C209" s="58"/>
      <c r="D209" s="26"/>
      <c r="E209" s="4"/>
      <c r="F209" s="4"/>
      <c r="G209" s="4"/>
      <c r="H209" s="4"/>
      <c r="I209" s="85"/>
    </row>
    <row r="210" spans="3:9" ht="15" thickBot="1" x14ac:dyDescent="0.35">
      <c r="C210" s="58"/>
      <c r="D210" s="9" t="s">
        <v>32</v>
      </c>
      <c r="E210" s="4"/>
      <c r="F210" s="19" t="s">
        <v>31</v>
      </c>
      <c r="G210" s="19" t="s">
        <v>195</v>
      </c>
      <c r="H210" s="19" t="s">
        <v>194</v>
      </c>
      <c r="I210" s="88" t="s">
        <v>196</v>
      </c>
    </row>
    <row r="211" spans="3:9" ht="27.6" customHeight="1" thickBot="1" x14ac:dyDescent="0.35">
      <c r="C211" s="71" t="s">
        <v>93</v>
      </c>
      <c r="D211" s="112" t="s">
        <v>150</v>
      </c>
      <c r="E211" s="113"/>
      <c r="F211" s="53">
        <f>F223/F95</f>
        <v>0.74875000000000003</v>
      </c>
      <c r="G211" s="22">
        <f>G223/G95</f>
        <v>2.126231884057971</v>
      </c>
      <c r="H211" s="55">
        <f>H223/H95</f>
        <v>1.999346405228758</v>
      </c>
      <c r="I211" s="85" t="s">
        <v>204</v>
      </c>
    </row>
    <row r="212" spans="3:9" ht="15" thickBot="1" x14ac:dyDescent="0.35">
      <c r="C212" s="57"/>
      <c r="D212" s="76"/>
      <c r="E212" s="76"/>
      <c r="F212" s="4"/>
      <c r="G212" s="4"/>
      <c r="H212" s="4"/>
      <c r="I212" s="85"/>
    </row>
    <row r="213" spans="3:9" x14ac:dyDescent="0.3">
      <c r="C213" s="57" t="s">
        <v>23</v>
      </c>
      <c r="D213" s="112" t="s">
        <v>148</v>
      </c>
      <c r="E213" s="113"/>
      <c r="F213" s="31">
        <f>IF($F$94*($F$89+$F$98)&gt;1600=TRUE,F125,0)</f>
        <v>200</v>
      </c>
      <c r="G213" s="28">
        <f>IF($F$94*($F$89+$F$98)&gt;1600=TRUE,G125,0)</f>
        <v>400</v>
      </c>
      <c r="H213" s="32">
        <f>IF($F$94*($F$89+$F$98)&gt;1600=TRUE,H125,0)</f>
        <v>250</v>
      </c>
      <c r="I213" s="85" t="s">
        <v>22</v>
      </c>
    </row>
    <row r="214" spans="3:9" x14ac:dyDescent="0.3">
      <c r="C214" s="57" t="s">
        <v>24</v>
      </c>
      <c r="D214" s="76"/>
      <c r="E214" s="76"/>
      <c r="F214" s="38">
        <v>2.87</v>
      </c>
      <c r="G214" s="40">
        <v>3.87</v>
      </c>
      <c r="H214" s="60">
        <v>4.87</v>
      </c>
      <c r="I214" s="85" t="s">
        <v>242</v>
      </c>
    </row>
    <row r="215" spans="3:9" x14ac:dyDescent="0.3">
      <c r="C215" s="57" t="s">
        <v>25</v>
      </c>
      <c r="D215" s="76"/>
      <c r="E215" s="76"/>
      <c r="F215" s="33">
        <f>IF(AND($F$94*($F$89+$F$98)&lt;=1600,$F$94*($F$89+$F$98)&gt;1200)=TRUE,$F$125,0)</f>
        <v>0</v>
      </c>
      <c r="G215" s="29">
        <f>IF(AND($F$94*($F$89+$F$98)&lt;=1600,$F$94*($F$89+$F$98)&gt;1200)=TRUE,$F$125,0)</f>
        <v>0</v>
      </c>
      <c r="H215" s="34">
        <f>IF(AND($F$94*($F$89+$F$98)&lt;=1600,$F$94*($F$89+$F$98)&gt;1200)=TRUE,$F$125,0)</f>
        <v>0</v>
      </c>
      <c r="I215" s="85" t="s">
        <v>22</v>
      </c>
    </row>
    <row r="216" spans="3:9" x14ac:dyDescent="0.3">
      <c r="C216" s="57" t="s">
        <v>26</v>
      </c>
      <c r="D216" s="110" t="s">
        <v>149</v>
      </c>
      <c r="E216" s="111"/>
      <c r="F216" s="38">
        <v>2.57</v>
      </c>
      <c r="G216" s="40">
        <v>3.57</v>
      </c>
      <c r="H216" s="60">
        <v>4.57</v>
      </c>
      <c r="I216" s="85" t="s">
        <v>242</v>
      </c>
    </row>
    <row r="217" spans="3:9" x14ac:dyDescent="0.3">
      <c r="C217" s="57" t="s">
        <v>27</v>
      </c>
      <c r="D217" s="76"/>
      <c r="E217" s="76"/>
      <c r="F217" s="33">
        <f>IF(AND($F$94*($F$89+$F$98)&lt;=1200,$F$94*($F$89+$F$98)&gt;800)=TRUE,$F$125,0)</f>
        <v>0</v>
      </c>
      <c r="G217" s="33">
        <f>IF(AND($F$94*($F$89+$F$98)&lt;=1200,$F$94*($F$89+$F$98)&gt;800)=TRUE,$F$125,0)</f>
        <v>0</v>
      </c>
      <c r="H217" s="33">
        <f>IF(AND($F$94*($F$89+$F$98)&lt;=1200,$F$94*($F$89+$F$98)&gt;800)=TRUE,$F$125,0)</f>
        <v>0</v>
      </c>
      <c r="I217" s="85" t="s">
        <v>22</v>
      </c>
    </row>
    <row r="218" spans="3:9" x14ac:dyDescent="0.3">
      <c r="C218" s="57" t="s">
        <v>28</v>
      </c>
      <c r="D218" s="110" t="s">
        <v>149</v>
      </c>
      <c r="E218" s="111"/>
      <c r="F218" s="38">
        <v>2.42</v>
      </c>
      <c r="G218" s="40">
        <v>3.42</v>
      </c>
      <c r="H218" s="60">
        <v>4.42</v>
      </c>
      <c r="I218" s="85" t="s">
        <v>242</v>
      </c>
    </row>
    <row r="219" spans="3:9" x14ac:dyDescent="0.3">
      <c r="C219" s="57" t="s">
        <v>82</v>
      </c>
      <c r="D219" s="110" t="s">
        <v>147</v>
      </c>
      <c r="E219" s="111"/>
      <c r="F219" s="33">
        <f>F126</f>
        <v>200</v>
      </c>
      <c r="G219" s="33">
        <f>G126</f>
        <v>400</v>
      </c>
      <c r="H219" s="33">
        <f>H126</f>
        <v>250</v>
      </c>
      <c r="I219" s="85" t="s">
        <v>22</v>
      </c>
    </row>
    <row r="220" spans="3:9" x14ac:dyDescent="0.3">
      <c r="C220" s="57" t="s">
        <v>29</v>
      </c>
      <c r="D220" s="76"/>
      <c r="E220" s="76"/>
      <c r="F220" s="38">
        <v>2.11</v>
      </c>
      <c r="G220" s="40">
        <v>3.11</v>
      </c>
      <c r="H220" s="60">
        <v>4.1100000000000003</v>
      </c>
      <c r="I220" s="85" t="s">
        <v>242</v>
      </c>
    </row>
    <row r="221" spans="3:9" ht="57" customHeight="1" x14ac:dyDescent="0.3">
      <c r="C221" s="57" t="s">
        <v>30</v>
      </c>
      <c r="D221" s="112" t="s">
        <v>249</v>
      </c>
      <c r="E221" s="113"/>
      <c r="F221" s="38">
        <v>60</v>
      </c>
      <c r="G221" s="40">
        <v>60</v>
      </c>
      <c r="H221" s="60">
        <v>60</v>
      </c>
      <c r="I221" s="85" t="s">
        <v>22</v>
      </c>
    </row>
    <row r="222" spans="3:9" x14ac:dyDescent="0.3">
      <c r="C222" s="57" t="s">
        <v>250</v>
      </c>
      <c r="D222" s="26"/>
      <c r="E222" s="4"/>
      <c r="F222" s="38">
        <v>1.37</v>
      </c>
      <c r="G222" s="40">
        <v>2.37</v>
      </c>
      <c r="H222" s="60">
        <v>3.37</v>
      </c>
      <c r="I222" s="85" t="s">
        <v>242</v>
      </c>
    </row>
    <row r="223" spans="3:9" ht="15" thickBot="1" x14ac:dyDescent="0.35">
      <c r="C223" s="57" t="s">
        <v>94</v>
      </c>
      <c r="D223" s="4"/>
      <c r="E223" s="4"/>
      <c r="F223" s="35">
        <f>F213*F214+F215*F216+F217*F218+F219*F220+F221*F222</f>
        <v>1078.2</v>
      </c>
      <c r="G223" s="30">
        <f t="shared" ref="G223:H223" si="15">G213*G214+G215*G216+G217*G218+G219*G220+G221*G222</f>
        <v>2934.2</v>
      </c>
      <c r="H223" s="36">
        <f t="shared" si="15"/>
        <v>2447.1999999999998</v>
      </c>
      <c r="I223" s="85" t="s">
        <v>217</v>
      </c>
    </row>
    <row r="224" spans="3:9" x14ac:dyDescent="0.3">
      <c r="C224" s="57"/>
      <c r="D224" s="4"/>
      <c r="E224" s="4"/>
      <c r="F224" s="20"/>
      <c r="G224" s="20"/>
      <c r="H224" s="20"/>
      <c r="I224" s="85"/>
    </row>
    <row r="225" spans="3:9" ht="15" thickBot="1" x14ac:dyDescent="0.35">
      <c r="C225" s="58"/>
      <c r="D225" s="9" t="s">
        <v>32</v>
      </c>
      <c r="E225" s="4"/>
      <c r="F225" s="19" t="s">
        <v>31</v>
      </c>
      <c r="G225" s="19" t="s">
        <v>195</v>
      </c>
      <c r="H225" s="19" t="s">
        <v>194</v>
      </c>
      <c r="I225" s="85"/>
    </row>
    <row r="226" spans="3:9" ht="15" thickBot="1" x14ac:dyDescent="0.35">
      <c r="C226" s="71" t="s">
        <v>251</v>
      </c>
      <c r="D226" s="4"/>
      <c r="E226" s="4"/>
      <c r="F226" s="53">
        <f>F169+F137+F223+F207</f>
        <v>11581.381378880002</v>
      </c>
      <c r="G226" s="54">
        <f>G169+G137+G223+G207</f>
        <v>14590.062757760001</v>
      </c>
      <c r="H226" s="55">
        <f>H169+H137+H223+H207</f>
        <v>10435.9267236</v>
      </c>
      <c r="I226" s="85" t="s">
        <v>223</v>
      </c>
    </row>
    <row r="227" spans="3:9" ht="15" thickBot="1" x14ac:dyDescent="0.35">
      <c r="C227" s="71"/>
      <c r="D227" s="4"/>
      <c r="E227" s="4"/>
      <c r="F227" s="20"/>
      <c r="G227" s="20"/>
      <c r="H227" s="20"/>
      <c r="I227" s="85"/>
    </row>
    <row r="228" spans="3:9" x14ac:dyDescent="0.3">
      <c r="C228" s="57" t="s">
        <v>88</v>
      </c>
      <c r="D228" s="4"/>
      <c r="E228" s="4"/>
      <c r="F228" s="31">
        <f>F170+F138+F211+F198</f>
        <v>7.104368534333334</v>
      </c>
      <c r="G228" s="77">
        <f>G170+G138+G211+G198</f>
        <v>8.8408560716521727</v>
      </c>
      <c r="H228" s="32">
        <f>H170+H138+H211+H198</f>
        <v>7.0870615700980393</v>
      </c>
      <c r="I228" s="85" t="s">
        <v>204</v>
      </c>
    </row>
    <row r="229" spans="3:9" x14ac:dyDescent="0.3">
      <c r="C229" s="57" t="s">
        <v>89</v>
      </c>
      <c r="D229" s="110" t="s">
        <v>113</v>
      </c>
      <c r="E229" s="110"/>
      <c r="F229" s="78">
        <v>0.15</v>
      </c>
      <c r="G229" s="108">
        <v>0.15</v>
      </c>
      <c r="H229" s="109">
        <v>0.15</v>
      </c>
      <c r="I229" s="85"/>
    </row>
    <row r="230" spans="3:9" x14ac:dyDescent="0.3">
      <c r="C230" s="57" t="s">
        <v>90</v>
      </c>
      <c r="D230" s="110" t="s">
        <v>113</v>
      </c>
      <c r="E230" s="110"/>
      <c r="F230" s="78">
        <v>0.15</v>
      </c>
      <c r="G230" s="108">
        <v>0.15</v>
      </c>
      <c r="H230" s="109">
        <v>0.15</v>
      </c>
      <c r="I230" s="85"/>
    </row>
    <row r="231" spans="3:9" x14ac:dyDescent="0.3">
      <c r="C231" s="57" t="s">
        <v>91</v>
      </c>
      <c r="D231" s="4"/>
      <c r="E231" s="4"/>
      <c r="F231" s="33">
        <f>(F226*(1+F229))*(1+F230)</f>
        <v>15316.376873568801</v>
      </c>
      <c r="G231" s="24">
        <f>(G226*(1+G229))*(1+G230)</f>
        <v>19295.357997137598</v>
      </c>
      <c r="H231" s="34">
        <f>(H226*(1+H229))*(1+H230)</f>
        <v>13801.513091960998</v>
      </c>
      <c r="I231" s="85"/>
    </row>
    <row r="232" spans="3:9" ht="15" thickBot="1" x14ac:dyDescent="0.35">
      <c r="C232" s="57" t="s">
        <v>92</v>
      </c>
      <c r="D232" s="4"/>
      <c r="E232" s="4"/>
      <c r="F232" s="35">
        <f>(F228*(1+F229))*(1+F230)</f>
        <v>9.3955273866558322</v>
      </c>
      <c r="G232" s="79">
        <f>(G228*(1+G229))*(1+G230)</f>
        <v>11.692032154759998</v>
      </c>
      <c r="H232" s="36">
        <f>(H228*(1+H229))*(1+H230)</f>
        <v>9.3726389264546555</v>
      </c>
      <c r="I232" s="85"/>
    </row>
    <row r="233" spans="3:9" ht="15" thickBot="1" x14ac:dyDescent="0.35">
      <c r="C233" s="59"/>
      <c r="D233" s="12"/>
      <c r="E233" s="12"/>
      <c r="F233" s="21"/>
      <c r="G233" s="21"/>
      <c r="H233" s="21"/>
      <c r="I233" s="86"/>
    </row>
    <row r="234" spans="3:9" x14ac:dyDescent="0.3">
      <c r="C234" s="45"/>
    </row>
  </sheetData>
  <sheetProtection sheet="1" objects="1" scenarios="1"/>
  <dataConsolidate/>
  <mergeCells count="86">
    <mergeCell ref="D229:E229"/>
    <mergeCell ref="D230:E230"/>
    <mergeCell ref="E10:F10"/>
    <mergeCell ref="E9:F9"/>
    <mergeCell ref="D35:E35"/>
    <mergeCell ref="D14:E14"/>
    <mergeCell ref="D17:E17"/>
    <mergeCell ref="D18:E18"/>
    <mergeCell ref="D19:E19"/>
    <mergeCell ref="D20:E20"/>
    <mergeCell ref="D21:E21"/>
    <mergeCell ref="D22:E22"/>
    <mergeCell ref="D23:E23"/>
    <mergeCell ref="D32:E32"/>
    <mergeCell ref="D33:E33"/>
    <mergeCell ref="D34:E34"/>
    <mergeCell ref="D59:E59"/>
    <mergeCell ref="D36:E36"/>
    <mergeCell ref="D37:E37"/>
    <mergeCell ref="D43:E43"/>
    <mergeCell ref="D44:E44"/>
    <mergeCell ref="D45:E45"/>
    <mergeCell ref="D46:E46"/>
    <mergeCell ref="D47:E47"/>
    <mergeCell ref="D48:E48"/>
    <mergeCell ref="C54:I54"/>
    <mergeCell ref="D55:E55"/>
    <mergeCell ref="D58:E58"/>
    <mergeCell ref="D87:E87"/>
    <mergeCell ref="D60:E60"/>
    <mergeCell ref="D61:E61"/>
    <mergeCell ref="D64:E64"/>
    <mergeCell ref="D67:E67"/>
    <mergeCell ref="D68:E68"/>
    <mergeCell ref="D69:E69"/>
    <mergeCell ref="D70:E70"/>
    <mergeCell ref="D76:E76"/>
    <mergeCell ref="D77:E77"/>
    <mergeCell ref="D84:E84"/>
    <mergeCell ref="D85:E85"/>
    <mergeCell ref="D107:E107"/>
    <mergeCell ref="D88:E88"/>
    <mergeCell ref="D89:E89"/>
    <mergeCell ref="D90:E90"/>
    <mergeCell ref="D93:E93"/>
    <mergeCell ref="D95:E95"/>
    <mergeCell ref="D98:E98"/>
    <mergeCell ref="D99:E99"/>
    <mergeCell ref="D100:E100"/>
    <mergeCell ref="D101:E101"/>
    <mergeCell ref="D102:E102"/>
    <mergeCell ref="D103:E103"/>
    <mergeCell ref="D145:E145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25:E125"/>
    <mergeCell ref="D126:E126"/>
    <mergeCell ref="D144:E144"/>
    <mergeCell ref="D174:E174"/>
    <mergeCell ref="D146:E146"/>
    <mergeCell ref="D147:E147"/>
    <mergeCell ref="D152:E152"/>
    <mergeCell ref="D153:E153"/>
    <mergeCell ref="D154:E154"/>
    <mergeCell ref="D155:E155"/>
    <mergeCell ref="D160:E160"/>
    <mergeCell ref="D161:E161"/>
    <mergeCell ref="D162:E162"/>
    <mergeCell ref="D163:E163"/>
    <mergeCell ref="D173:E173"/>
    <mergeCell ref="D216:E216"/>
    <mergeCell ref="D218:E218"/>
    <mergeCell ref="D219:E219"/>
    <mergeCell ref="D221:E221"/>
    <mergeCell ref="D178:E178"/>
    <mergeCell ref="D189:E189"/>
    <mergeCell ref="D190:E190"/>
    <mergeCell ref="D206:E206"/>
    <mergeCell ref="D211:E211"/>
    <mergeCell ref="D213:E213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C6" sqref="C6"/>
    </sheetView>
  </sheetViews>
  <sheetFormatPr baseColWidth="10" defaultRowHeight="14.4" x14ac:dyDescent="0.3"/>
  <cols>
    <col min="1" max="1" width="25.21875" customWidth="1"/>
    <col min="2" max="2" width="35.88671875" customWidth="1"/>
    <col min="3" max="3" width="25.6640625" customWidth="1"/>
  </cols>
  <sheetData>
    <row r="3" spans="1:4" ht="18" x14ac:dyDescent="0.35">
      <c r="A3" s="63" t="s">
        <v>154</v>
      </c>
    </row>
    <row r="5" spans="1:4" x14ac:dyDescent="0.3">
      <c r="A5" t="s">
        <v>14</v>
      </c>
      <c r="B5" s="120" t="s">
        <v>254</v>
      </c>
      <c r="D5" s="62"/>
    </row>
    <row r="6" spans="1:4" x14ac:dyDescent="0.3">
      <c r="A6" t="s">
        <v>155</v>
      </c>
      <c r="B6" s="120" t="s">
        <v>254</v>
      </c>
      <c r="D6" s="62"/>
    </row>
    <row r="7" spans="1:4" x14ac:dyDescent="0.3">
      <c r="A7" t="s">
        <v>156</v>
      </c>
      <c r="B7" s="120" t="s">
        <v>163</v>
      </c>
    </row>
    <row r="8" spans="1:4" x14ac:dyDescent="0.3">
      <c r="A8" t="s">
        <v>157</v>
      </c>
      <c r="B8" s="120" t="s">
        <v>163</v>
      </c>
    </row>
    <row r="9" spans="1:4" x14ac:dyDescent="0.3">
      <c r="A9" t="s">
        <v>158</v>
      </c>
      <c r="B9" s="120" t="s">
        <v>255</v>
      </c>
    </row>
    <row r="10" spans="1:4" x14ac:dyDescent="0.3">
      <c r="A10" t="s">
        <v>159</v>
      </c>
      <c r="B10" s="120" t="s">
        <v>256</v>
      </c>
    </row>
    <row r="11" spans="1:4" x14ac:dyDescent="0.3">
      <c r="A11" t="s">
        <v>160</v>
      </c>
      <c r="B11" s="120" t="s">
        <v>164</v>
      </c>
    </row>
    <row r="12" spans="1:4" x14ac:dyDescent="0.3">
      <c r="A12" t="s">
        <v>161</v>
      </c>
      <c r="B12" s="120" t="s">
        <v>164</v>
      </c>
    </row>
    <row r="13" spans="1:4" x14ac:dyDescent="0.3">
      <c r="A13" t="s">
        <v>165</v>
      </c>
      <c r="B13" s="120" t="s">
        <v>166</v>
      </c>
    </row>
    <row r="14" spans="1:4" x14ac:dyDescent="0.3">
      <c r="A14" t="s">
        <v>162</v>
      </c>
      <c r="B14" s="120" t="s">
        <v>167</v>
      </c>
    </row>
    <row r="15" spans="1:4" x14ac:dyDescent="0.3">
      <c r="B15" s="12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2"/>
  <sheetViews>
    <sheetView workbookViewId="0">
      <selection activeCell="E9" sqref="E9"/>
    </sheetView>
  </sheetViews>
  <sheetFormatPr baseColWidth="10" defaultRowHeight="14.4" x14ac:dyDescent="0.3"/>
  <cols>
    <col min="1" max="1" width="26.109375" bestFit="1" customWidth="1"/>
  </cols>
  <sheetData>
    <row r="5" spans="1:8" x14ac:dyDescent="0.3">
      <c r="A5" t="s">
        <v>7</v>
      </c>
      <c r="B5" t="s">
        <v>9</v>
      </c>
      <c r="C5" t="s">
        <v>8</v>
      </c>
      <c r="D5" t="s">
        <v>15</v>
      </c>
      <c r="E5" t="s">
        <v>10</v>
      </c>
      <c r="F5" t="s">
        <v>11</v>
      </c>
      <c r="G5" t="s">
        <v>20</v>
      </c>
      <c r="H5" t="s">
        <v>12</v>
      </c>
    </row>
    <row r="6" spans="1:8" x14ac:dyDescent="0.3">
      <c r="A6" t="s">
        <v>16</v>
      </c>
      <c r="B6">
        <v>57.2</v>
      </c>
      <c r="C6">
        <v>18</v>
      </c>
      <c r="D6">
        <v>90</v>
      </c>
      <c r="E6">
        <f t="shared" ref="E6:E11" si="0">D6-C6</f>
        <v>72</v>
      </c>
      <c r="F6">
        <v>11.3</v>
      </c>
      <c r="G6">
        <v>25</v>
      </c>
      <c r="H6" t="s">
        <v>13</v>
      </c>
    </row>
    <row r="7" spans="1:8" x14ac:dyDescent="0.3">
      <c r="A7" t="s">
        <v>16</v>
      </c>
      <c r="B7">
        <v>64.5</v>
      </c>
      <c r="C7">
        <v>20</v>
      </c>
      <c r="D7">
        <v>90</v>
      </c>
      <c r="E7">
        <f t="shared" si="0"/>
        <v>70</v>
      </c>
      <c r="F7">
        <v>12.54</v>
      </c>
      <c r="G7">
        <v>25</v>
      </c>
      <c r="H7" t="s">
        <v>13</v>
      </c>
    </row>
    <row r="8" spans="1:8" x14ac:dyDescent="0.3">
      <c r="A8" t="s">
        <v>16</v>
      </c>
      <c r="B8">
        <v>71.8</v>
      </c>
      <c r="C8">
        <v>18.7</v>
      </c>
      <c r="D8">
        <v>90</v>
      </c>
      <c r="E8">
        <f t="shared" si="0"/>
        <v>71.3</v>
      </c>
      <c r="F8">
        <v>12.766</v>
      </c>
      <c r="G8">
        <v>25</v>
      </c>
      <c r="H8" t="s">
        <v>13</v>
      </c>
    </row>
    <row r="9" spans="1:8" x14ac:dyDescent="0.3">
      <c r="A9" t="s">
        <v>17</v>
      </c>
      <c r="B9">
        <v>82.5</v>
      </c>
      <c r="C9">
        <v>21.5</v>
      </c>
      <c r="D9">
        <v>90</v>
      </c>
      <c r="E9">
        <f t="shared" si="0"/>
        <v>68.5</v>
      </c>
      <c r="F9">
        <v>15.74</v>
      </c>
      <c r="G9">
        <v>25</v>
      </c>
      <c r="H9" t="s">
        <v>13</v>
      </c>
    </row>
    <row r="10" spans="1:8" x14ac:dyDescent="0.3">
      <c r="A10" t="s">
        <v>19</v>
      </c>
      <c r="B10">
        <v>80</v>
      </c>
      <c r="C10">
        <v>24</v>
      </c>
      <c r="D10">
        <v>90</v>
      </c>
      <c r="E10">
        <f t="shared" si="0"/>
        <v>66</v>
      </c>
      <c r="F10">
        <v>15.74</v>
      </c>
      <c r="G10">
        <v>28</v>
      </c>
      <c r="H10" t="s">
        <v>13</v>
      </c>
    </row>
    <row r="11" spans="1:8" x14ac:dyDescent="0.3">
      <c r="A11" t="s">
        <v>18</v>
      </c>
      <c r="B11">
        <v>64</v>
      </c>
      <c r="C11">
        <v>27.3</v>
      </c>
      <c r="D11">
        <v>80</v>
      </c>
      <c r="E11">
        <f t="shared" si="0"/>
        <v>52.7</v>
      </c>
      <c r="F11">
        <v>14.04</v>
      </c>
      <c r="G11">
        <v>22</v>
      </c>
      <c r="H11" t="s">
        <v>14</v>
      </c>
    </row>
    <row r="12" spans="1:8" x14ac:dyDescent="0.3">
      <c r="H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Cost Simulator</vt:lpstr>
      <vt:lpstr>Railway Undertakings </vt:lpstr>
      <vt:lpstr>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Genot</dc:creator>
  <cp:lastModifiedBy>Laura LL. LAMAIR</cp:lastModifiedBy>
  <dcterms:created xsi:type="dcterms:W3CDTF">2015-06-05T18:19:34Z</dcterms:created>
  <dcterms:modified xsi:type="dcterms:W3CDTF">2021-02-26T16:14:45Z</dcterms:modified>
</cp:coreProperties>
</file>