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niall\Desktop\Insight Work\CARE-PEAT\Deliverables\D2.2 Carbon Farming and Paludiculture Validatiom\"/>
    </mc:Choice>
  </mc:AlternateContent>
  <xr:revisionPtr revIDLastSave="0" documentId="13_ncr:1_{1261FD80-0532-44AD-8553-654C245513FA}" xr6:coauthVersionLast="47" xr6:coauthVersionMax="47" xr10:uidLastSave="{00000000-0000-0000-0000-000000000000}"/>
  <bookViews>
    <workbookView xWindow="-96" yWindow="-96" windowWidth="23232" windowHeight="12552" tabRatio="580" xr2:uid="{DD4E0568-8D8B-4205-9F61-A1EEE4AEC617}"/>
  </bookViews>
  <sheets>
    <sheet name="Introduction" sheetId="37" r:id="rId1"/>
    <sheet name="Input" sheetId="33" r:id="rId2"/>
    <sheet name="Assumptions" sheetId="35" r:id="rId3"/>
    <sheet name="Setup" sheetId="36" r:id="rId4"/>
    <sheet name="Model" sheetId="3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35" l="1"/>
  <c r="E15" i="36"/>
  <c r="K7" i="33"/>
  <c r="F7" i="35"/>
  <c r="H7" i="35" s="1"/>
  <c r="E14" i="36"/>
  <c r="H18" i="36" l="1"/>
  <c r="H15" i="36"/>
  <c r="H49" i="36"/>
  <c r="H48" i="36"/>
  <c r="H19" i="36"/>
  <c r="H27" i="35"/>
  <c r="H11" i="35"/>
  <c r="H9" i="36" s="1"/>
  <c r="H14" i="35"/>
  <c r="H15" i="35"/>
  <c r="H16" i="35"/>
  <c r="H17" i="35"/>
  <c r="H18" i="35"/>
  <c r="H19" i="35"/>
  <c r="H20" i="35"/>
  <c r="H21" i="35"/>
  <c r="H22" i="35"/>
  <c r="H35" i="36" s="1"/>
  <c r="H23" i="35"/>
  <c r="H36" i="36" s="1"/>
  <c r="H29" i="35"/>
  <c r="H28" i="36"/>
  <c r="H13" i="36"/>
  <c r="E7" i="34" s="1"/>
  <c r="H12" i="36"/>
  <c r="I10" i="34" s="1"/>
  <c r="H6" i="36"/>
  <c r="H21" i="36" l="1"/>
  <c r="F40" i="36"/>
  <c r="F43" i="36"/>
  <c r="F44" i="36"/>
  <c r="F45" i="36"/>
  <c r="H8" i="36"/>
  <c r="H7" i="36" s="1"/>
  <c r="F28" i="35"/>
  <c r="H28" i="35" s="1"/>
  <c r="H29" i="36" s="1"/>
  <c r="H30" i="36" s="1"/>
  <c r="H31" i="36" s="1"/>
  <c r="H52" i="36" s="1"/>
  <c r="J10" i="34"/>
  <c r="F41" i="36" l="1"/>
  <c r="K17" i="33"/>
  <c r="K5" i="33"/>
  <c r="F39" i="36"/>
  <c r="F13" i="34"/>
  <c r="F15" i="34" s="1"/>
  <c r="E13" i="34"/>
  <c r="E15" i="34" s="1"/>
  <c r="E8" i="34"/>
  <c r="F42" i="36"/>
  <c r="F8" i="34"/>
  <c r="H57" i="36" l="1"/>
  <c r="I9" i="34"/>
  <c r="J9" i="34" l="1"/>
  <c r="I8" i="34" l="1"/>
  <c r="E40" i="36" l="1"/>
  <c r="H40" i="36" s="1"/>
  <c r="E39" i="36"/>
  <c r="H39" i="36" s="1"/>
  <c r="E41" i="36"/>
  <c r="H41" i="36" s="1"/>
  <c r="E42" i="36"/>
  <c r="H42" i="36" s="1"/>
  <c r="E43" i="36"/>
  <c r="H43" i="36" s="1"/>
  <c r="E44" i="36"/>
  <c r="H44" i="36" s="1"/>
  <c r="E45" i="36"/>
  <c r="H45" i="36" s="1"/>
  <c r="E38" i="36"/>
  <c r="H38" i="36" s="1"/>
  <c r="H53" i="36" l="1"/>
  <c r="H54" i="36" s="1"/>
  <c r="H56" i="36" s="1"/>
  <c r="E14" i="34"/>
  <c r="H24" i="36" l="1"/>
  <c r="H25" i="36"/>
  <c r="E16" i="34"/>
  <c r="E17" i="34" s="1"/>
  <c r="F16" i="34"/>
  <c r="F17" i="34" s="1"/>
  <c r="K6" i="33" l="1"/>
  <c r="E10" i="34"/>
  <c r="I14" i="34" s="1"/>
  <c r="E11" i="34"/>
  <c r="E12" i="34" s="1"/>
  <c r="F11" i="34"/>
  <c r="F12" i="34" s="1"/>
  <c r="F10" i="34"/>
  <c r="J8" i="34"/>
  <c r="I15" i="34" l="1"/>
  <c r="I16" i="34"/>
  <c r="I13" i="34"/>
  <c r="J14" i="34"/>
  <c r="J13" i="34"/>
  <c r="J15" i="34"/>
  <c r="J16" i="34"/>
  <c r="J7" i="34" s="1"/>
  <c r="J11" i="34" s="1"/>
  <c r="K15" i="33" l="1"/>
  <c r="I7" i="34"/>
  <c r="J17" i="34"/>
  <c r="J12" i="34"/>
  <c r="I12" i="34" l="1"/>
  <c r="I11" i="34"/>
  <c r="I17" i="34" l="1"/>
  <c r="J18" i="34" s="1"/>
  <c r="J19" i="34" s="1"/>
  <c r="I18" i="34" l="1"/>
  <c r="I20" i="34" s="1"/>
  <c r="K14" i="33" s="1"/>
  <c r="J20" i="34"/>
  <c r="I19" i="34" l="1"/>
  <c r="K13" i="33" s="1"/>
  <c r="K12" i="33"/>
</calcChain>
</file>

<file path=xl/sharedStrings.xml><?xml version="1.0" encoding="utf-8"?>
<sst xmlns="http://schemas.openxmlformats.org/spreadsheetml/2006/main" count="175" uniqueCount="165">
  <si>
    <t>Nominal interest rate (%)</t>
  </si>
  <si>
    <t>Inflation rate (%)</t>
  </si>
  <si>
    <t xml:space="preserve">Profitable? </t>
  </si>
  <si>
    <t>YES</t>
  </si>
  <si>
    <t>NO</t>
  </si>
  <si>
    <t>Hectares restored</t>
  </si>
  <si>
    <t>Carbon investment</t>
  </si>
  <si>
    <t>Carbon investment annual costs (for sum)</t>
  </si>
  <si>
    <t>Years</t>
  </si>
  <si>
    <t>normalised units</t>
  </si>
  <si>
    <t>Income</t>
  </si>
  <si>
    <t>Hectares</t>
  </si>
  <si>
    <t xml:space="preserve">hectares </t>
  </si>
  <si>
    <t>beginning value</t>
  </si>
  <si>
    <t>ending value (undiscounted)</t>
  </si>
  <si>
    <t>ending value (discounted)</t>
  </si>
  <si>
    <t>£ cost</t>
  </si>
  <si>
    <t>Annual carbon investment costs</t>
  </si>
  <si>
    <t>times paid</t>
  </si>
  <si>
    <t>sum cost</t>
  </si>
  <si>
    <t>none</t>
  </si>
  <si>
    <t>Period of years</t>
  </si>
  <si>
    <t>Calendar year (start, year 0)</t>
  </si>
  <si>
    <t>Calendar year (end, year x)</t>
  </si>
  <si>
    <t>Final investment year (exponent)</t>
  </si>
  <si>
    <t xml:space="preserve">Period of years </t>
  </si>
  <si>
    <t>Calendar years and exponent</t>
  </si>
  <si>
    <t>Investment</t>
  </si>
  <si>
    <t xml:space="preserve">Start year </t>
  </si>
  <si>
    <t xml:space="preserve">End year </t>
  </si>
  <si>
    <t>Registry costs included?</t>
  </si>
  <si>
    <t xml:space="preserve">Registry costs included? </t>
  </si>
  <si>
    <t>Selling each credit for</t>
  </si>
  <si>
    <t xml:space="preserve">Is the selling price profitable? </t>
  </si>
  <si>
    <t>Registry conversion cost minimum</t>
  </si>
  <si>
    <t>Total carbon registry costs over project period</t>
  </si>
  <si>
    <t>Registry account opening fee</t>
  </si>
  <si>
    <t xml:space="preserve">Min units above which registry conversion costs incur </t>
  </si>
  <si>
    <t xml:space="preserve">constant payments and interest rate </t>
  </si>
  <si>
    <t>exponent year for discounting</t>
  </si>
  <si>
    <t>exponent factor for CARG</t>
  </si>
  <si>
    <t>Carbon credits</t>
  </si>
  <si>
    <t>number of payments per year (12 means one per month)</t>
  </si>
  <si>
    <t>Carbon investment cost per payment</t>
  </si>
  <si>
    <t>Carbon investment cost per payment (for sum)</t>
  </si>
  <si>
    <t>Duration of inspection cycle (years)</t>
  </si>
  <si>
    <t>Real interest rate (for discounting)</t>
  </si>
  <si>
    <t>real interest rate for discounting</t>
  </si>
  <si>
    <t xml:space="preserve">Carbon registry costs </t>
  </si>
  <si>
    <r>
      <t xml:space="preserve">User assumptions, </t>
    </r>
    <r>
      <rPr>
        <b/>
        <sz val="11"/>
        <color theme="4"/>
        <rFont val="Calibri"/>
        <family val="2"/>
        <scheme val="minor"/>
      </rPr>
      <t xml:space="preserve">amend values in this column </t>
    </r>
  </si>
  <si>
    <r>
      <t xml:space="preserve">Inbuild assumptions, </t>
    </r>
    <r>
      <rPr>
        <b/>
        <sz val="11"/>
        <color theme="1" tint="0.499984740745262"/>
        <rFont val="Calibri"/>
        <family val="2"/>
        <scheme val="minor"/>
      </rPr>
      <t>do not amend</t>
    </r>
    <r>
      <rPr>
        <sz val="11"/>
        <color theme="1" tint="0.499984740745262"/>
        <rFont val="Calibri"/>
        <family val="2"/>
        <scheme val="minor"/>
      </rPr>
      <t xml:space="preserve"> values in this column </t>
    </r>
  </si>
  <si>
    <r>
      <t xml:space="preserve">Set up for calcaltions, </t>
    </r>
    <r>
      <rPr>
        <b/>
        <sz val="11"/>
        <color theme="1" tint="0.499984740745262"/>
        <rFont val="Calibri"/>
        <family val="2"/>
        <scheme val="minor"/>
      </rPr>
      <t>do not amend</t>
    </r>
    <r>
      <rPr>
        <sz val="11"/>
        <color theme="1" tint="0.499984740745262"/>
        <rFont val="Calibri"/>
        <family val="2"/>
        <scheme val="minor"/>
      </rPr>
      <t xml:space="preserve"> values in this column </t>
    </r>
  </si>
  <si>
    <t>Profit per credit</t>
  </si>
  <si>
    <t>Profit per hectare per year</t>
  </si>
  <si>
    <t>Yes</t>
  </si>
  <si>
    <t>No</t>
  </si>
  <si>
    <t>registry</t>
  </si>
  <si>
    <t>investement</t>
  </si>
  <si>
    <t>The tool estimates the feasible profit from peatland restoration projects. It will be useful for advisers, brokers, accrediting bodies, farmers, landowners, and other investors in carbon credits.</t>
  </si>
  <si>
    <t>Pricing of carbon credits varies widely under different markets. Emerging regulated, voluntary, and unregulated carbon markets create a complex patchwork of financial feasibility.</t>
  </si>
  <si>
    <t xml:space="preserve">This variation creates the need for a pricing tool that cuts across different emerging markets. The transferability of this financial feasibility and pricing tool contributes to addressing this need.  </t>
  </si>
  <si>
    <t xml:space="preserve">The tool uses non-technical input information. It estimates the financial feasibility of peatland restoration projects and the expected profit from different sale prices of carbon credits.   </t>
  </si>
  <si>
    <t>Financial feasibility is indicated when all four indicators return positive values.  The expected profit per carbon credit and per hectare per year are then based on the resulting net present value.</t>
  </si>
  <si>
    <t>The £ symbol is only used to show monetary information. The UK currency does not underpin any calculations. Any currency could be inserted in the cells that show £ symbol.</t>
  </si>
  <si>
    <t>This financial feasibility and pricing tool for carbon credits is transferable across situations. It can be used in different countries, restoration projects, accreditation schemes, and carbon markets.</t>
  </si>
  <si>
    <t xml:space="preserve">The tool works for future time scales from calendar year 2020.  The period of years affects the calculations, but the start and end calendar years do not. They are shown for information.    </t>
  </si>
  <si>
    <t>The input tab is the main interface for the users.</t>
  </si>
  <si>
    <t>The break-even point is the threshold between a sale price that returns No, and the next small incremental increase of that sale price, which returns Yes in the profitable box.</t>
  </si>
  <si>
    <t>The assumptions tab is for using optionally.</t>
  </si>
  <si>
    <t>Insert the input information in the input tab on the left-hand side (underlined cells). On the right-hand side amend the selling price (underlined cell) until the profitable box shows Yes.</t>
  </si>
  <si>
    <t>For this reason, small incremental increases are necessary for identifying the break-even point. Above the break-even point any pricing is profitable, and the relevant cell shows Yes.</t>
  </si>
  <si>
    <t>When the profitable box shows Yes, a profit per unit and a profit per hectare per year also appear (green cells). These estimates are the expected profit from the selling price that has been entered.</t>
  </si>
  <si>
    <t>The setup tab is for information.</t>
  </si>
  <si>
    <t>The model tab is for information.</t>
  </si>
  <si>
    <t>If they wish users may interrogate the table on the right for additional insights on pricing and profitability. There is no option for the users to amend this tab.</t>
  </si>
  <si>
    <t>Profit across project duration</t>
  </si>
  <si>
    <t>financial feasibility and pricing tool user interface</t>
  </si>
  <si>
    <t>financial feasibility and pricing tool inbuild assumptions</t>
  </si>
  <si>
    <t xml:space="preserve">Type of costs included </t>
  </si>
  <si>
    <t xml:space="preserve">Total costs over the duration of the project </t>
  </si>
  <si>
    <t xml:space="preserve">Registry costs </t>
  </si>
  <si>
    <t xml:space="preserve">for reference only please do not amend any cells in this tab </t>
  </si>
  <si>
    <t>financial feasibility and pricing tool setup of parameters used in the model calculations</t>
  </si>
  <si>
    <t>restored</t>
  </si>
  <si>
    <t xml:space="preserve">financial feasibility and pricing model discounting  </t>
  </si>
  <si>
    <t xml:space="preserve">discounting </t>
  </si>
  <si>
    <t>Total investment costs over project period</t>
  </si>
  <si>
    <t xml:space="preserve">financial feasibility and pricing model detailed output </t>
  </si>
  <si>
    <t xml:space="preserve">Introduction </t>
  </si>
  <si>
    <t>Hectares of restored area</t>
  </si>
  <si>
    <t>Ending value (£ selling each credit for)</t>
  </si>
  <si>
    <t>Validation and verification application cost (per inspection visit)</t>
  </si>
  <si>
    <t>Validation and verification statement cost (per inspection visit)</t>
  </si>
  <si>
    <t>Validation and verification inspector travel costs (per inspection visit)</t>
  </si>
  <si>
    <t>Total project costs over project period</t>
  </si>
  <si>
    <t>total project costs (undiscounted)</t>
  </si>
  <si>
    <t>total project costs (discounted)</t>
  </si>
  <si>
    <t>This is a financial feasibility and pricing tool for carbon credits. It was developed by Manchester Metropolitan University and National University of Ireland Galway as part of Interreg North-West Europe Care-Peat project.</t>
  </si>
  <si>
    <t xml:space="preserve">Professionals who may find this tool useful </t>
  </si>
  <si>
    <t xml:space="preserve">The need for this tool   </t>
  </si>
  <si>
    <t>What this tool does</t>
  </si>
  <si>
    <t>Spatial considerations for applying the tool</t>
  </si>
  <si>
    <t>Temporal considerations for applying the tool</t>
  </si>
  <si>
    <t>Instructions for using this tool</t>
  </si>
  <si>
    <t>Investment finance costs included?</t>
  </si>
  <si>
    <t>Registry listing cost per credit</t>
  </si>
  <si>
    <t>Registry levy cost per credit</t>
  </si>
  <si>
    <t>Beginning and ending values of investment</t>
  </si>
  <si>
    <t>investment costs included?</t>
  </si>
  <si>
    <t>Registry conversion cost per credit (above min credits)</t>
  </si>
  <si>
    <t>profitability indicators</t>
  </si>
  <si>
    <t>Gross present value (GPV)</t>
  </si>
  <si>
    <t>Net present value (NPV)</t>
  </si>
  <si>
    <t>Credits per hectare per year</t>
  </si>
  <si>
    <t>Carbon Connects site emission tool</t>
  </si>
  <si>
    <t>Peatland Code emission calculators</t>
  </si>
  <si>
    <t xml:space="preserve">Years, credits, and hectares </t>
  </si>
  <si>
    <t>Registry listing cost per credit (£)</t>
  </si>
  <si>
    <t>Registry conversion cost fee per inspection* (£)</t>
  </si>
  <si>
    <t>Registry conversion cost per credit above min threshold of credits ** (£)</t>
  </si>
  <si>
    <t>Registry levy cost per credit (£)</t>
  </si>
  <si>
    <t>Validation and verification application cost per inspection* (£)</t>
  </si>
  <si>
    <t>Validation and verification statement cost per inspection* (£)</t>
  </si>
  <si>
    <t>Validation and verification inspector travel costs per inspection* (£)</t>
  </si>
  <si>
    <t>* Cycle duration in years (one inspection per cycle) (years)</t>
  </si>
  <si>
    <t>** Min threshold of credits above which registry conversion costs incur (credits)</t>
  </si>
  <si>
    <t>Registry account opening fee, one-off, (£)</t>
  </si>
  <si>
    <t>at interest rate (%)</t>
  </si>
  <si>
    <t>over period of years (years)</t>
  </si>
  <si>
    <t>Credits generated by restored area</t>
  </si>
  <si>
    <t>Cost of generating each credit</t>
  </si>
  <si>
    <t>Value of money</t>
  </si>
  <si>
    <t xml:space="preserve">Investment servicing arrangements </t>
  </si>
  <si>
    <t>Average credits per hectare per year</t>
  </si>
  <si>
    <t>Estimated credits per hectare per year</t>
  </si>
  <si>
    <t>Estimated credits used in calculations if initial input is amended</t>
  </si>
  <si>
    <t>Average credits per hectare per year (input from literature)</t>
  </si>
  <si>
    <t>Average credits used in calculations if initial input is not amended</t>
  </si>
  <si>
    <t>Carbon credits generated over period, hectares, and type of restoration</t>
  </si>
  <si>
    <t>Estimated credits per hectare per year (amended or calculated)</t>
  </si>
  <si>
    <t>Beginning value (£ cost of generating each credit)</t>
  </si>
  <si>
    <t>Cost of generating each credit (i.e. investment divided by credits)</t>
  </si>
  <si>
    <t xml:space="preserve">values </t>
  </si>
  <si>
    <t xml:space="preserve">credits generated over project duration </t>
  </si>
  <si>
    <t>Credits</t>
  </si>
  <si>
    <t xml:space="preserve">Profit per credit </t>
  </si>
  <si>
    <t xml:space="preserve">Profit per hectare per year </t>
  </si>
  <si>
    <t>Rate of return (ROR) %</t>
  </si>
  <si>
    <t>Use the cost of generating each credit as starting point (blue cell). Increase the selling price in large (tens, hundreds) or small increments to reach from not profitable to profitable pricing.</t>
  </si>
  <si>
    <t>Use the assumptions tab to amend the parameters that affect the background calculations.</t>
  </si>
  <si>
    <t xml:space="preserve">The column on the left shows the inbuilt assumptions. The column on the right sets up the inbuilt or amended parameters for subsequent calculations.  </t>
  </si>
  <si>
    <t>Amend as required inbuilt assumptions by using the middle column (underlined cells). Amended parameters overwrite inbuilt assumptions in subsequent calculations.</t>
  </si>
  <si>
    <t>Insert plain numbers with up to two decimal places. Do not use symbols in this column e.g. plus, minus, percentage, currency or other symbols.</t>
  </si>
  <si>
    <t>Technical or specialist advice for using site emissions calculators and for amending carbon registry and investment servicing costs may be needed.</t>
  </si>
  <si>
    <t>Use the Carbon Connects site emission tool, the Peatland Code emission calculators, or similar tools to estimate carbon credits per hectare per year based on site and project specific information.</t>
  </si>
  <si>
    <t>Insert estimated carbon credits per hectare per year in cell G7. Estimated carbon credits are shown in the input tab, overwrite average credits, and are used in subsequent calculations.</t>
  </si>
  <si>
    <t>Use long-term nominal interest rate and inflation rate for amending the value of money. Long-term fifty-year nominal interest rate and inflation rate are publicised by central banks.</t>
  </si>
  <si>
    <t>Use the carbon registry costs associated with the specific certification organisation that is anticipated to process and verify the sale of carbon credits from the specific project.</t>
  </si>
  <si>
    <t>Amend the interest rate, the number of years, and/ or the number of payments per year for servicing a loan or an investment.</t>
  </si>
  <si>
    <t>In this tab the input information is collated and setup for the subsequent calculations of the financial feasibility indicators. It shows the detailed information used in calculations. There is no option for the users to amend information this tab.</t>
  </si>
  <si>
    <t>This tab includes the calculations for the financial feasibility indicators. It shows the calculations for the start and end values, the discounting, the profitability indicators, and the profit per credit and per hectare per year.</t>
  </si>
  <si>
    <t>Compound annualised rate of growth (CARG) %</t>
  </si>
  <si>
    <t>The input information is number of years, average credits generated per hectare per year, hectares restored, investment amount, whether registry and investment costs are included, and the selling price of carbon credits.</t>
  </si>
  <si>
    <t>Four indicators are used for financial feasibility. They are the rate of return, compound annual rate of growth, gross present value, and net present value.</t>
  </si>
  <si>
    <t xml:space="preserve">Inbuilt assumptions to the tool can be amended. Information on average credits per hectare per year can be amended by estimates from external calculators using site and project specific details. Cost of money, carbon registry costs, and investment arrangements are also amendable.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</si>
</sst>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quot;£&quot;#,##0"/>
    <numFmt numFmtId="165" formatCode="&quot;£&quot;#,##0.00;[Red]\-&quot;£&quot;#,##0.00"/>
    <numFmt numFmtId="166" formatCode="_-* #,##0.00_-;\-* #,##0.00_-;_-* &quot;-&quot;??_-;_-@_-"/>
    <numFmt numFmtId="167" formatCode="&quot;£&quot;#,##0"/>
    <numFmt numFmtId="168" formatCode="0.000"/>
    <numFmt numFmtId="169" formatCode="&quot;£&quot;#,##0.00"/>
    <numFmt numFmtId="170" formatCode="&quot;£&quot;#,##0.0"/>
    <numFmt numFmtId="171" formatCode="_-* #,##0_-;\-* #,##0_-;_-* &quot;-&quot;??_-;_-@_-"/>
  </numFmts>
  <fonts count="29" x14ac:knownFonts="1">
    <font>
      <sz val="11"/>
      <color theme="1"/>
      <name val="Calibri"/>
      <family val="2"/>
      <scheme val="minor"/>
    </font>
    <font>
      <b/>
      <sz val="11"/>
      <color theme="1"/>
      <name val="Calibri"/>
      <family val="2"/>
      <scheme val="minor"/>
    </font>
    <font>
      <sz val="11"/>
      <name val="Calibri"/>
      <family val="2"/>
      <scheme val="minor"/>
    </font>
    <font>
      <sz val="11"/>
      <color theme="1" tint="0.499984740745262"/>
      <name val="Calibri"/>
      <family val="2"/>
      <scheme val="minor"/>
    </font>
    <font>
      <b/>
      <sz val="11"/>
      <color theme="1" tint="0.499984740745262"/>
      <name val="Calibri"/>
      <family val="2"/>
      <scheme val="minor"/>
    </font>
    <font>
      <sz val="8"/>
      <name val="Calibri"/>
      <family val="2"/>
      <scheme val="minor"/>
    </font>
    <font>
      <sz val="11"/>
      <color theme="9" tint="-0.499984740745262"/>
      <name val="Calibri"/>
      <family val="2"/>
      <scheme val="minor"/>
    </font>
    <font>
      <b/>
      <sz val="11"/>
      <color theme="9" tint="-0.499984740745262"/>
      <name val="Calibri"/>
      <family val="2"/>
      <scheme val="minor"/>
    </font>
    <font>
      <sz val="11"/>
      <color theme="4" tint="-0.249977111117893"/>
      <name val="Calibri"/>
      <family val="2"/>
      <scheme val="minor"/>
    </font>
    <font>
      <sz val="11"/>
      <color theme="1"/>
      <name val="Calibri"/>
      <family val="2"/>
      <scheme val="minor"/>
    </font>
    <font>
      <sz val="11"/>
      <color theme="4"/>
      <name val="Calibri"/>
      <family val="2"/>
      <scheme val="minor"/>
    </font>
    <font>
      <b/>
      <sz val="11"/>
      <color theme="4"/>
      <name val="Calibri"/>
      <family val="2"/>
      <scheme val="minor"/>
    </font>
    <font>
      <sz val="11"/>
      <color theme="0" tint="-0.249977111117893"/>
      <name val="Calibri"/>
      <family val="2"/>
      <scheme val="minor"/>
    </font>
    <font>
      <strike/>
      <sz val="11"/>
      <color theme="4"/>
      <name val="Calibri"/>
      <family val="2"/>
      <scheme val="minor"/>
    </font>
    <font>
      <sz val="11"/>
      <color theme="5" tint="-0.499984740745262"/>
      <name val="Calibri"/>
      <family val="2"/>
      <scheme val="minor"/>
    </font>
    <font>
      <b/>
      <sz val="11"/>
      <color theme="0" tint="-0.249977111117893"/>
      <name val="Calibri"/>
      <family val="2"/>
      <scheme val="minor"/>
    </font>
    <font>
      <sz val="11"/>
      <color theme="2" tint="-9.9978637043366805E-2"/>
      <name val="Calibri"/>
      <family val="2"/>
      <scheme val="minor"/>
    </font>
    <font>
      <sz val="11"/>
      <color theme="0"/>
      <name val="Calibri"/>
      <family val="2"/>
      <scheme val="minor"/>
    </font>
    <font>
      <strike/>
      <sz val="11"/>
      <color theme="1" tint="0.499984740745262"/>
      <name val="Calibri"/>
      <family val="2"/>
      <scheme val="minor"/>
    </font>
    <font>
      <sz val="11"/>
      <color rgb="FF00B050"/>
      <name val="Calibri"/>
      <family val="2"/>
      <scheme val="minor"/>
    </font>
    <font>
      <sz val="11"/>
      <color rgb="FFFFC000"/>
      <name val="Calibri"/>
      <family val="2"/>
      <scheme val="minor"/>
    </font>
    <font>
      <sz val="11"/>
      <color rgb="FFFF0000"/>
      <name val="Calibri"/>
      <family val="2"/>
      <scheme val="minor"/>
    </font>
    <font>
      <sz val="7"/>
      <color theme="0" tint="-0.249977111117893"/>
      <name val="Segoe UI"/>
      <family val="2"/>
    </font>
    <font>
      <b/>
      <sz val="11"/>
      <color theme="2" tint="-9.9978637043366805E-2"/>
      <name val="Calibri"/>
      <family val="2"/>
      <scheme val="minor"/>
    </font>
    <font>
      <b/>
      <sz val="12"/>
      <name val="Calibri"/>
      <family val="2"/>
      <scheme val="minor"/>
    </font>
    <font>
      <b/>
      <sz val="12"/>
      <color theme="1"/>
      <name val="Calibri"/>
      <family val="2"/>
      <scheme val="minor"/>
    </font>
    <font>
      <sz val="11"/>
      <color theme="9"/>
      <name val="Calibri"/>
      <family val="2"/>
      <scheme val="minor"/>
    </font>
    <font>
      <u/>
      <sz val="11"/>
      <color theme="10"/>
      <name val="Calibri"/>
      <family val="2"/>
      <scheme val="minor"/>
    </font>
    <font>
      <sz val="11"/>
      <color theme="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s>
  <borders count="8">
    <border>
      <left/>
      <right/>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right/>
      <top style="medium">
        <color indexed="64"/>
      </top>
      <bottom style="double">
        <color indexed="64"/>
      </bottom>
      <diagonal/>
    </border>
    <border>
      <left/>
      <right/>
      <top style="medium">
        <color indexed="64"/>
      </top>
      <bottom style="medium">
        <color indexed="64"/>
      </bottom>
      <diagonal/>
    </border>
  </borders>
  <cellStyleXfs count="3">
    <xf numFmtId="0" fontId="0" fillId="0" borderId="0"/>
    <xf numFmtId="166" fontId="9" fillId="0" borderId="0" applyFont="0" applyFill="0" applyBorder="0" applyAlignment="0" applyProtection="0"/>
    <xf numFmtId="0" fontId="27" fillId="0" borderId="0" applyNumberFormat="0" applyFill="0" applyBorder="0" applyAlignment="0" applyProtection="0"/>
  </cellStyleXfs>
  <cellXfs count="155">
    <xf numFmtId="0" fontId="0" fillId="0" borderId="0" xfId="0"/>
    <xf numFmtId="0" fontId="0" fillId="2" borderId="0" xfId="0" applyFill="1"/>
    <xf numFmtId="0" fontId="0" fillId="2" borderId="2" xfId="0" applyFill="1" applyBorder="1"/>
    <xf numFmtId="0" fontId="3" fillId="2" borderId="0" xfId="0" applyFont="1" applyFill="1"/>
    <xf numFmtId="1" fontId="3" fillId="2" borderId="0" xfId="0" applyNumberFormat="1" applyFont="1" applyFill="1"/>
    <xf numFmtId="0" fontId="3" fillId="2" borderId="2" xfId="0" applyFont="1" applyFill="1" applyBorder="1"/>
    <xf numFmtId="0" fontId="3" fillId="2" borderId="3" xfId="0" applyFont="1" applyFill="1" applyBorder="1"/>
    <xf numFmtId="0" fontId="3" fillId="2" borderId="4" xfId="0" applyFont="1" applyFill="1" applyBorder="1"/>
    <xf numFmtId="0" fontId="4" fillId="2" borderId="4" xfId="0" applyFont="1" applyFill="1" applyBorder="1"/>
    <xf numFmtId="167" fontId="3" fillId="2" borderId="0" xfId="0" applyNumberFormat="1" applyFont="1" applyFill="1" applyAlignment="1">
      <alignment horizontal="right"/>
    </xf>
    <xf numFmtId="167" fontId="3" fillId="2" borderId="2" xfId="0" applyNumberFormat="1" applyFont="1" applyFill="1" applyBorder="1" applyAlignment="1">
      <alignment horizontal="right"/>
    </xf>
    <xf numFmtId="0" fontId="0" fillId="2" borderId="4" xfId="0" applyFill="1" applyBorder="1"/>
    <xf numFmtId="0" fontId="3" fillId="2" borderId="5" xfId="0" applyFont="1" applyFill="1" applyBorder="1"/>
    <xf numFmtId="167" fontId="3" fillId="2" borderId="5" xfId="0" applyNumberFormat="1" applyFont="1" applyFill="1" applyBorder="1" applyAlignment="1">
      <alignment horizontal="right"/>
    </xf>
    <xf numFmtId="2" fontId="3" fillId="2" borderId="0" xfId="0" applyNumberFormat="1" applyFont="1" applyFill="1" applyAlignment="1">
      <alignment horizontal="right"/>
    </xf>
    <xf numFmtId="167" fontId="3" fillId="2" borderId="0" xfId="0" applyNumberFormat="1" applyFont="1" applyFill="1"/>
    <xf numFmtId="0" fontId="0" fillId="2" borderId="0" xfId="0" applyFill="1" applyAlignment="1">
      <alignment horizontal="right"/>
    </xf>
    <xf numFmtId="167" fontId="3" fillId="2" borderId="3" xfId="0" applyNumberFormat="1" applyFont="1" applyFill="1" applyBorder="1"/>
    <xf numFmtId="0" fontId="2" fillId="2" borderId="2" xfId="0" applyFont="1" applyFill="1" applyBorder="1"/>
    <xf numFmtId="0" fontId="3" fillId="2" borderId="0" xfId="0" applyFont="1" applyFill="1" applyAlignment="1">
      <alignment horizontal="right"/>
    </xf>
    <xf numFmtId="0" fontId="4" fillId="2" borderId="2" xfId="0" applyFont="1" applyFill="1" applyBorder="1" applyAlignment="1">
      <alignment horizontal="left"/>
    </xf>
    <xf numFmtId="0" fontId="6" fillId="3" borderId="0" xfId="0" applyFont="1" applyFill="1"/>
    <xf numFmtId="0" fontId="3" fillId="2" borderId="2" xfId="0" applyFont="1" applyFill="1" applyBorder="1" applyAlignment="1">
      <alignment horizontal="right"/>
    </xf>
    <xf numFmtId="0" fontId="12" fillId="2" borderId="0" xfId="0" applyFont="1" applyFill="1"/>
    <xf numFmtId="0" fontId="4" fillId="2" borderId="0" xfId="0" applyFont="1" applyFill="1"/>
    <xf numFmtId="0" fontId="2" fillId="2" borderId="0" xfId="0" applyFont="1" applyFill="1"/>
    <xf numFmtId="0" fontId="4" fillId="2" borderId="2" xfId="0" applyFont="1" applyFill="1" applyBorder="1"/>
    <xf numFmtId="0" fontId="4" fillId="2" borderId="3" xfId="0" applyFont="1" applyFill="1" applyBorder="1"/>
    <xf numFmtId="0" fontId="3" fillId="2" borderId="3" xfId="0" applyFont="1" applyFill="1" applyBorder="1" applyAlignment="1">
      <alignment horizontal="center"/>
    </xf>
    <xf numFmtId="169" fontId="3" fillId="2" borderId="0" xfId="0" applyNumberFormat="1" applyFont="1" applyFill="1" applyAlignment="1">
      <alignment horizontal="right"/>
    </xf>
    <xf numFmtId="169" fontId="3" fillId="2" borderId="2" xfId="0" applyNumberFormat="1" applyFont="1" applyFill="1" applyBorder="1" applyAlignment="1">
      <alignment horizontal="right"/>
    </xf>
    <xf numFmtId="2" fontId="3" fillId="2" borderId="0" xfId="0" applyNumberFormat="1" applyFont="1" applyFill="1"/>
    <xf numFmtId="0" fontId="3" fillId="2" borderId="4" xfId="0" applyFont="1" applyFill="1" applyBorder="1" applyAlignment="1">
      <alignment horizontal="center"/>
    </xf>
    <xf numFmtId="0" fontId="3" fillId="2" borderId="1" xfId="0" applyFont="1" applyFill="1" applyBorder="1"/>
    <xf numFmtId="0" fontId="16" fillId="2" borderId="0" xfId="0" applyFont="1" applyFill="1"/>
    <xf numFmtId="169" fontId="6" fillId="3" borderId="0" xfId="0" applyNumberFormat="1" applyFont="1" applyFill="1" applyAlignment="1">
      <alignment horizontal="right"/>
    </xf>
    <xf numFmtId="0" fontId="14" fillId="2" borderId="0" xfId="0" applyFont="1" applyFill="1"/>
    <xf numFmtId="0" fontId="3" fillId="2" borderId="0" xfId="0" applyFont="1" applyFill="1" applyAlignment="1">
      <alignment horizontal="center"/>
    </xf>
    <xf numFmtId="0" fontId="18" fillId="2" borderId="0" xfId="0" applyFont="1" applyFill="1"/>
    <xf numFmtId="168" fontId="3" fillId="2" borderId="0" xfId="0" applyNumberFormat="1" applyFont="1" applyFill="1" applyAlignment="1">
      <alignment horizontal="right"/>
    </xf>
    <xf numFmtId="0" fontId="19" fillId="2" borderId="0" xfId="0" applyFont="1" applyFill="1"/>
    <xf numFmtId="168" fontId="3" fillId="2" borderId="0" xfId="0" applyNumberFormat="1" applyFont="1" applyFill="1"/>
    <xf numFmtId="168" fontId="3" fillId="2" borderId="3" xfId="0" applyNumberFormat="1" applyFont="1" applyFill="1" applyBorder="1"/>
    <xf numFmtId="0" fontId="3" fillId="2" borderId="6" xfId="0" applyFont="1" applyFill="1" applyBorder="1"/>
    <xf numFmtId="0" fontId="2" fillId="2" borderId="0" xfId="0" applyFont="1" applyFill="1" applyAlignment="1">
      <alignment vertical="center"/>
    </xf>
    <xf numFmtId="0" fontId="2" fillId="2" borderId="2" xfId="0" applyFont="1" applyFill="1" applyBorder="1" applyAlignment="1">
      <alignment horizontal="right"/>
    </xf>
    <xf numFmtId="0" fontId="2" fillId="2" borderId="0" xfId="0" applyFont="1" applyFill="1" applyAlignment="1">
      <alignment horizontal="right"/>
    </xf>
    <xf numFmtId="167" fontId="2" fillId="2" borderId="2" xfId="0" applyNumberFormat="1" applyFont="1" applyFill="1" applyBorder="1" applyAlignment="1">
      <alignment horizontal="right"/>
    </xf>
    <xf numFmtId="0" fontId="0" fillId="2" borderId="6" xfId="0" applyFill="1" applyBorder="1"/>
    <xf numFmtId="0" fontId="7" fillId="3" borderId="0" xfId="0" applyFont="1" applyFill="1" applyAlignment="1">
      <alignment horizontal="right"/>
    </xf>
    <xf numFmtId="1" fontId="20" fillId="2" borderId="0" xfId="0" applyNumberFormat="1" applyFont="1" applyFill="1"/>
    <xf numFmtId="171" fontId="2" fillId="2" borderId="2" xfId="1" applyNumberFormat="1" applyFont="1" applyFill="1" applyBorder="1" applyAlignment="1">
      <alignment horizontal="right"/>
    </xf>
    <xf numFmtId="0" fontId="8" fillId="2" borderId="0" xfId="0" applyFont="1" applyFill="1"/>
    <xf numFmtId="169" fontId="2" fillId="2" borderId="2" xfId="0" applyNumberFormat="1" applyFont="1" applyFill="1" applyBorder="1" applyAlignment="1">
      <alignment horizontal="right"/>
    </xf>
    <xf numFmtId="1" fontId="3" fillId="2" borderId="0" xfId="0" applyNumberFormat="1" applyFont="1" applyFill="1" applyAlignment="1">
      <alignment horizontal="right"/>
    </xf>
    <xf numFmtId="0" fontId="17" fillId="2" borderId="0" xfId="0" applyFont="1" applyFill="1" applyAlignment="1">
      <alignment horizontal="right"/>
    </xf>
    <xf numFmtId="0" fontId="0" fillId="2" borderId="0" xfId="0" applyFill="1" applyAlignment="1">
      <alignment horizontal="center"/>
    </xf>
    <xf numFmtId="0" fontId="8" fillId="4" borderId="0" xfId="0" applyFont="1" applyFill="1"/>
    <xf numFmtId="169" fontId="8" fillId="4" borderId="0" xfId="0" applyNumberFormat="1" applyFont="1" applyFill="1" applyAlignment="1">
      <alignment horizontal="right"/>
    </xf>
    <xf numFmtId="3" fontId="8" fillId="2" borderId="0" xfId="0" applyNumberFormat="1" applyFont="1" applyFill="1" applyAlignment="1">
      <alignment horizontal="right"/>
    </xf>
    <xf numFmtId="0" fontId="1" fillId="2" borderId="4" xfId="0" applyFont="1" applyFill="1" applyBorder="1"/>
    <xf numFmtId="0" fontId="3" fillId="2" borderId="0" xfId="0" applyFont="1" applyFill="1" applyAlignment="1">
      <alignment horizontal="center" vertical="top" wrapText="1"/>
    </xf>
    <xf numFmtId="0" fontId="18" fillId="2" borderId="0" xfId="0" applyFont="1" applyFill="1" applyAlignment="1">
      <alignment horizontal="center"/>
    </xf>
    <xf numFmtId="2" fontId="3" fillId="2" borderId="0" xfId="0" applyNumberFormat="1" applyFont="1" applyFill="1" applyAlignment="1">
      <alignment horizontal="center"/>
    </xf>
    <xf numFmtId="0" fontId="10" fillId="2" borderId="0" xfId="0" applyFont="1" applyFill="1" applyAlignment="1">
      <alignment horizontal="center" vertical="top" wrapText="1"/>
    </xf>
    <xf numFmtId="0" fontId="13" fillId="2" borderId="0" xfId="0" applyFont="1" applyFill="1" applyAlignment="1">
      <alignment horizontal="center"/>
    </xf>
    <xf numFmtId="0" fontId="10" fillId="2" borderId="2" xfId="0" applyFont="1" applyFill="1" applyBorder="1" applyAlignment="1">
      <alignment horizontal="center"/>
    </xf>
    <xf numFmtId="0" fontId="10" fillId="2" borderId="0" xfId="0" applyFont="1" applyFill="1" applyAlignment="1">
      <alignment horizontal="center"/>
    </xf>
    <xf numFmtId="0" fontId="10" fillId="2" borderId="4" xfId="0" applyFont="1" applyFill="1" applyBorder="1" applyAlignment="1">
      <alignment horizontal="center"/>
    </xf>
    <xf numFmtId="168" fontId="3" fillId="2" borderId="0" xfId="0" applyNumberFormat="1" applyFont="1" applyFill="1" applyAlignment="1">
      <alignment horizontal="center"/>
    </xf>
    <xf numFmtId="0" fontId="10" fillId="2" borderId="1" xfId="0" applyFont="1" applyFill="1" applyBorder="1" applyAlignment="1">
      <alignment horizontal="center"/>
    </xf>
    <xf numFmtId="0" fontId="18" fillId="2" borderId="4" xfId="0" applyFont="1" applyFill="1" applyBorder="1" applyAlignment="1">
      <alignment horizontal="center"/>
    </xf>
    <xf numFmtId="0" fontId="13" fillId="2" borderId="4" xfId="0" applyFont="1" applyFill="1" applyBorder="1" applyAlignment="1">
      <alignment horizontal="center"/>
    </xf>
    <xf numFmtId="167" fontId="6" fillId="3" borderId="0" xfId="0" applyNumberFormat="1" applyFont="1" applyFill="1" applyAlignment="1">
      <alignment horizontal="right"/>
    </xf>
    <xf numFmtId="0" fontId="3" fillId="2" borderId="1" xfId="0" applyFont="1" applyFill="1" applyBorder="1" applyAlignment="1">
      <alignment horizontal="right"/>
    </xf>
    <xf numFmtId="1" fontId="3" fillId="2" borderId="3" xfId="0" applyNumberFormat="1" applyFont="1" applyFill="1" applyBorder="1" applyAlignment="1">
      <alignment horizontal="right"/>
    </xf>
    <xf numFmtId="169" fontId="4" fillId="2" borderId="3" xfId="0" applyNumberFormat="1" applyFont="1" applyFill="1" applyBorder="1"/>
    <xf numFmtId="0" fontId="12" fillId="2" borderId="3" xfId="0" applyFont="1" applyFill="1" applyBorder="1"/>
    <xf numFmtId="0" fontId="12" fillId="2" borderId="2" xfId="0" applyFont="1" applyFill="1" applyBorder="1"/>
    <xf numFmtId="165" fontId="22" fillId="2" borderId="0" xfId="0" applyNumberFormat="1" applyFont="1" applyFill="1"/>
    <xf numFmtId="1" fontId="12" fillId="2" borderId="0" xfId="0" applyNumberFormat="1" applyFont="1" applyFill="1"/>
    <xf numFmtId="0" fontId="15" fillId="2" borderId="0" xfId="0" applyFont="1" applyFill="1"/>
    <xf numFmtId="0" fontId="4" fillId="0" borderId="4" xfId="0" applyFont="1" applyBorder="1" applyAlignment="1">
      <alignment vertical="center"/>
    </xf>
    <xf numFmtId="0" fontId="3" fillId="2" borderId="0" xfId="0" applyFont="1" applyFill="1" applyAlignment="1">
      <alignment horizontal="center" vertical="center"/>
    </xf>
    <xf numFmtId="0" fontId="16" fillId="2" borderId="0" xfId="0" applyFont="1" applyFill="1" applyAlignment="1">
      <alignment horizontal="right"/>
    </xf>
    <xf numFmtId="0" fontId="16" fillId="2" borderId="3" xfId="0" applyFont="1" applyFill="1" applyBorder="1" applyAlignment="1">
      <alignment horizontal="right"/>
    </xf>
    <xf numFmtId="0" fontId="16" fillId="2" borderId="2" xfId="0" applyFont="1" applyFill="1" applyBorder="1" applyAlignment="1">
      <alignment horizontal="right"/>
    </xf>
    <xf numFmtId="171" fontId="16" fillId="2" borderId="0" xfId="1" applyNumberFormat="1" applyFont="1" applyFill="1" applyBorder="1"/>
    <xf numFmtId="171" fontId="16" fillId="2" borderId="3" xfId="1" applyNumberFormat="1" applyFont="1" applyFill="1" applyBorder="1"/>
    <xf numFmtId="0" fontId="23" fillId="2" borderId="2" xfId="0" applyFont="1" applyFill="1" applyBorder="1" applyAlignment="1">
      <alignment horizontal="right"/>
    </xf>
    <xf numFmtId="0" fontId="23" fillId="2" borderId="0" xfId="0" applyFont="1" applyFill="1" applyAlignment="1">
      <alignment horizontal="right"/>
    </xf>
    <xf numFmtId="0" fontId="23" fillId="2" borderId="3" xfId="0" applyFont="1" applyFill="1" applyBorder="1" applyAlignment="1">
      <alignment horizontal="right"/>
    </xf>
    <xf numFmtId="0" fontId="17" fillId="2" borderId="4" xfId="0" applyFont="1" applyFill="1" applyBorder="1" applyAlignment="1">
      <alignment horizontal="left"/>
    </xf>
    <xf numFmtId="1" fontId="17" fillId="2" borderId="0" xfId="0" applyNumberFormat="1" applyFont="1" applyFill="1"/>
    <xf numFmtId="167" fontId="17" fillId="2" borderId="0" xfId="0" applyNumberFormat="1" applyFont="1" applyFill="1" applyAlignment="1">
      <alignment horizontal="right"/>
    </xf>
    <xf numFmtId="0" fontId="17" fillId="2" borderId="0" xfId="0" applyFont="1" applyFill="1"/>
    <xf numFmtId="168" fontId="17" fillId="2" borderId="0" xfId="0" applyNumberFormat="1" applyFont="1" applyFill="1" applyAlignment="1">
      <alignment horizontal="right"/>
    </xf>
    <xf numFmtId="1" fontId="17" fillId="2" borderId="0" xfId="0" applyNumberFormat="1" applyFont="1" applyFill="1" applyAlignment="1">
      <alignment horizontal="right"/>
    </xf>
    <xf numFmtId="170" fontId="17" fillId="2" borderId="0" xfId="0" applyNumberFormat="1" applyFont="1" applyFill="1" applyAlignment="1">
      <alignment horizontal="right"/>
    </xf>
    <xf numFmtId="2" fontId="17" fillId="2" borderId="0" xfId="0" applyNumberFormat="1" applyFont="1" applyFill="1"/>
    <xf numFmtId="2" fontId="17" fillId="2" borderId="0" xfId="0" applyNumberFormat="1" applyFont="1" applyFill="1" applyAlignment="1">
      <alignment horizontal="right"/>
    </xf>
    <xf numFmtId="167" fontId="17" fillId="2" borderId="0" xfId="0" applyNumberFormat="1" applyFont="1" applyFill="1"/>
    <xf numFmtId="0" fontId="17" fillId="2" borderId="0" xfId="0" applyFont="1" applyFill="1" applyAlignment="1">
      <alignment horizontal="center"/>
    </xf>
    <xf numFmtId="0" fontId="24" fillId="2" borderId="0" xfId="0" applyFont="1" applyFill="1"/>
    <xf numFmtId="0" fontId="24" fillId="2" borderId="0" xfId="0" applyFont="1" applyFill="1" applyAlignment="1">
      <alignment vertical="center"/>
    </xf>
    <xf numFmtId="0" fontId="2" fillId="2" borderId="0" xfId="0" applyFont="1" applyFill="1" applyAlignment="1">
      <alignment horizontal="left" vertical="top" wrapText="1"/>
    </xf>
    <xf numFmtId="0" fontId="24" fillId="2" borderId="0" xfId="0" applyFont="1" applyFill="1" applyAlignment="1">
      <alignment horizontal="left" vertical="top" wrapText="1"/>
    </xf>
    <xf numFmtId="0" fontId="25" fillId="2" borderId="0" xfId="0" applyFont="1" applyFill="1" applyAlignment="1">
      <alignment horizontal="left" vertical="top" wrapText="1"/>
    </xf>
    <xf numFmtId="0" fontId="0" fillId="2" borderId="0" xfId="0" applyFill="1" applyAlignment="1">
      <alignment horizontal="left" vertical="top" wrapText="1"/>
    </xf>
    <xf numFmtId="0" fontId="2" fillId="2" borderId="4" xfId="0" applyFont="1" applyFill="1" applyBorder="1"/>
    <xf numFmtId="0" fontId="21" fillId="2" borderId="0" xfId="0" applyFont="1" applyFill="1"/>
    <xf numFmtId="164" fontId="3" fillId="2" borderId="3" xfId="1" applyNumberFormat="1" applyFont="1" applyFill="1" applyBorder="1"/>
    <xf numFmtId="167" fontId="3" fillId="2" borderId="0" xfId="1" applyNumberFormat="1" applyFont="1" applyFill="1" applyBorder="1"/>
    <xf numFmtId="171" fontId="2" fillId="2" borderId="0" xfId="1" applyNumberFormat="1" applyFont="1" applyFill="1" applyBorder="1" applyAlignment="1">
      <alignment horizontal="right"/>
    </xf>
    <xf numFmtId="167" fontId="2" fillId="2" borderId="0" xfId="0" applyNumberFormat="1" applyFont="1" applyFill="1" applyAlignment="1">
      <alignment horizontal="right"/>
    </xf>
    <xf numFmtId="0" fontId="17" fillId="2" borderId="0" xfId="0" applyFont="1" applyFill="1" applyAlignment="1">
      <alignment horizontal="center" vertical="center"/>
    </xf>
    <xf numFmtId="0" fontId="21" fillId="2" borderId="0" xfId="0" applyFont="1" applyFill="1" applyAlignment="1">
      <alignment horizontal="right"/>
    </xf>
    <xf numFmtId="167" fontId="21" fillId="2" borderId="0" xfId="0" applyNumberFormat="1" applyFont="1" applyFill="1" applyAlignment="1">
      <alignment horizontal="right"/>
    </xf>
    <xf numFmtId="2" fontId="21" fillId="2" borderId="0" xfId="0" applyNumberFormat="1" applyFont="1" applyFill="1"/>
    <xf numFmtId="0" fontId="21" fillId="2" borderId="4" xfId="0" applyFont="1" applyFill="1" applyBorder="1"/>
    <xf numFmtId="0" fontId="17" fillId="2" borderId="0" xfId="0" applyFont="1" applyFill="1" applyAlignment="1">
      <alignment vertical="center"/>
    </xf>
    <xf numFmtId="0" fontId="17" fillId="2" borderId="3" xfId="0" applyFont="1" applyFill="1" applyBorder="1" applyAlignment="1">
      <alignment horizontal="center" vertical="center"/>
    </xf>
    <xf numFmtId="0" fontId="17" fillId="2" borderId="2" xfId="0" applyFont="1" applyFill="1" applyBorder="1"/>
    <xf numFmtId="0" fontId="17" fillId="2" borderId="3" xfId="0" applyFont="1" applyFill="1" applyBorder="1" applyAlignment="1">
      <alignment horizontal="center"/>
    </xf>
    <xf numFmtId="0" fontId="17" fillId="2" borderId="2" xfId="0" applyFont="1" applyFill="1" applyBorder="1" applyAlignment="1">
      <alignment horizontal="center"/>
    </xf>
    <xf numFmtId="1" fontId="21" fillId="2" borderId="0" xfId="0" applyNumberFormat="1" applyFont="1" applyFill="1" applyAlignment="1">
      <alignment horizontal="right"/>
    </xf>
    <xf numFmtId="170" fontId="21" fillId="2" borderId="0" xfId="0" applyNumberFormat="1" applyFont="1" applyFill="1" applyAlignment="1">
      <alignment horizontal="right"/>
    </xf>
    <xf numFmtId="2" fontId="21" fillId="2" borderId="0" xfId="0" applyNumberFormat="1" applyFont="1" applyFill="1" applyAlignment="1">
      <alignment horizontal="right"/>
    </xf>
    <xf numFmtId="167" fontId="21" fillId="2" borderId="0" xfId="0" applyNumberFormat="1" applyFont="1" applyFill="1"/>
    <xf numFmtId="0" fontId="17" fillId="2" borderId="4" xfId="0" applyFont="1" applyFill="1" applyBorder="1"/>
    <xf numFmtId="0" fontId="17" fillId="2" borderId="2" xfId="0" applyFont="1" applyFill="1" applyBorder="1" applyAlignment="1">
      <alignment horizontal="center" vertical="center"/>
    </xf>
    <xf numFmtId="0" fontId="2" fillId="2" borderId="3" xfId="0" applyFont="1" applyFill="1" applyBorder="1" applyAlignment="1">
      <alignment horizontal="left" vertical="top" wrapText="1"/>
    </xf>
    <xf numFmtId="0" fontId="0" fillId="2" borderId="3" xfId="0" applyFill="1" applyBorder="1" applyAlignment="1">
      <alignment horizontal="left" vertical="top" wrapText="1"/>
    </xf>
    <xf numFmtId="0" fontId="21" fillId="2" borderId="3" xfId="0" applyFont="1" applyFill="1" applyBorder="1"/>
    <xf numFmtId="0" fontId="1" fillId="2" borderId="2" xfId="0" applyFont="1" applyFill="1" applyBorder="1" applyAlignment="1">
      <alignment horizontal="left" vertical="top" wrapText="1"/>
    </xf>
    <xf numFmtId="0" fontId="24" fillId="2" borderId="7" xfId="0" applyFont="1" applyFill="1" applyBorder="1" applyAlignment="1">
      <alignment vertical="center"/>
    </xf>
    <xf numFmtId="0" fontId="24" fillId="2" borderId="7" xfId="0" applyFont="1" applyFill="1" applyBorder="1" applyAlignment="1">
      <alignment horizontal="left" vertical="top" wrapText="1"/>
    </xf>
    <xf numFmtId="0" fontId="25" fillId="2" borderId="7" xfId="0" applyFont="1" applyFill="1" applyBorder="1" applyAlignment="1">
      <alignment horizontal="left" vertical="top" wrapText="1"/>
    </xf>
    <xf numFmtId="0" fontId="3" fillId="2" borderId="0" xfId="0" applyFont="1" applyFill="1" applyAlignment="1">
      <alignment vertical="top" wrapText="1"/>
    </xf>
    <xf numFmtId="0" fontId="27" fillId="2" borderId="0" xfId="2" applyFill="1" applyAlignment="1">
      <alignment horizontal="left"/>
    </xf>
    <xf numFmtId="0" fontId="27" fillId="2" borderId="3" xfId="2" applyFill="1" applyBorder="1"/>
    <xf numFmtId="0" fontId="0" fillId="0" borderId="0" xfId="0" applyAlignment="1">
      <alignment vertical="center"/>
    </xf>
    <xf numFmtId="0" fontId="26" fillId="2" borderId="0" xfId="0" applyFont="1" applyFill="1"/>
    <xf numFmtId="0" fontId="8" fillId="2" borderId="2" xfId="0" applyFont="1" applyFill="1" applyBorder="1" applyAlignment="1">
      <alignment horizontal="center"/>
    </xf>
    <xf numFmtId="0" fontId="3" fillId="2" borderId="0" xfId="0" applyFont="1" applyFill="1" applyAlignment="1">
      <alignment vertical="center"/>
    </xf>
    <xf numFmtId="0" fontId="3" fillId="2" borderId="3" xfId="0" applyFont="1" applyFill="1" applyBorder="1" applyAlignment="1">
      <alignment vertical="center"/>
    </xf>
    <xf numFmtId="0" fontId="3" fillId="2" borderId="3" xfId="0" applyFont="1" applyFill="1" applyBorder="1" applyAlignment="1">
      <alignment horizontal="right"/>
    </xf>
    <xf numFmtId="1" fontId="3" fillId="2" borderId="2" xfId="0" applyNumberFormat="1" applyFont="1" applyFill="1" applyBorder="1"/>
    <xf numFmtId="169" fontId="3" fillId="2" borderId="3" xfId="0" applyNumberFormat="1" applyFont="1" applyFill="1" applyBorder="1" applyAlignment="1">
      <alignment horizontal="right"/>
    </xf>
    <xf numFmtId="0" fontId="8" fillId="2" borderId="0" xfId="0" applyFont="1" applyFill="1" applyAlignment="1">
      <alignment horizontal="right"/>
    </xf>
    <xf numFmtId="0" fontId="28" fillId="2" borderId="0" xfId="0" applyFont="1" applyFill="1" applyAlignment="1">
      <alignment horizontal="left" vertical="top" wrapText="1"/>
    </xf>
    <xf numFmtId="0" fontId="0" fillId="2" borderId="0" xfId="0" applyFill="1" applyAlignment="1">
      <alignment vertical="center" wrapText="1"/>
    </xf>
    <xf numFmtId="0" fontId="3" fillId="2" borderId="3" xfId="0" applyFont="1" applyFill="1" applyBorder="1" applyAlignment="1">
      <alignment horizontal="center"/>
    </xf>
    <xf numFmtId="0" fontId="3" fillId="2" borderId="0" xfId="0" applyFont="1" applyFill="1" applyAlignment="1">
      <alignment horizontal="center" vertical="center"/>
    </xf>
    <xf numFmtId="0" fontId="21" fillId="2" borderId="0" xfId="0" applyFont="1" applyFill="1" applyAlignment="1">
      <alignment horizontal="right"/>
    </xf>
  </cellXfs>
  <cellStyles count="3">
    <cellStyle name="Comma" xfId="1" builtinId="3"/>
    <cellStyle name="Hyperlink" xfId="2" builtinId="8"/>
    <cellStyle name="Normal" xfId="0" builtinId="0"/>
  </cellStyles>
  <dxfs count="2">
    <dxf>
      <font>
        <color theme="0"/>
      </font>
      <fill>
        <patternFill>
          <bgColor theme="0"/>
        </patternFill>
      </fill>
      <border>
        <left/>
        <right/>
        <top/>
        <bottom/>
        <vertical/>
        <horizontal/>
      </border>
    </dxf>
    <dxf>
      <font>
        <b val="0"/>
        <i/>
        <color auto="1"/>
      </font>
      <fill>
        <patternFill>
          <bgColor theme="0"/>
        </patternFill>
      </fill>
      <border>
        <left/>
        <right/>
        <top/>
        <bottom/>
      </border>
    </dxf>
  </dxfs>
  <tableStyles count="0" defaultTableStyle="TableStyleMedium2" defaultPivotStyle="PivotStyleLight16"/>
  <colors>
    <mruColors>
      <color rgb="FFFF9999"/>
      <color rgb="FFFF7C80"/>
      <color rgb="FFFFCC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ucn-uk-peatlandprogramme.org/peatland-code/introduction-peatland-code/projects" TargetMode="External"/><Relationship Id="rId1" Type="http://schemas.openxmlformats.org/officeDocument/2006/relationships/hyperlink" Target="https://vb.nweurope.eu/projects/project-search/cconnects-carbon-connect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9D812-A882-4981-8803-55B4CD43DF93}">
  <dimension ref="B1:B89"/>
  <sheetViews>
    <sheetView tabSelected="1" workbookViewId="0">
      <pane ySplit="1" topLeftCell="A2" activePane="bottomLeft" state="frozen"/>
      <selection pane="bottomLeft" activeCell="B1" sqref="B1"/>
    </sheetView>
  </sheetViews>
  <sheetFormatPr defaultColWidth="8.734375" defaultRowHeight="14.4" x14ac:dyDescent="0.55000000000000004"/>
  <cols>
    <col min="1" max="1" width="8.734375" style="25"/>
    <col min="2" max="2" width="123.734375" style="25" customWidth="1"/>
    <col min="3" max="16384" width="8.734375" style="25"/>
  </cols>
  <sheetData>
    <row r="1" spans="2:2" ht="20.05" customHeight="1" x14ac:dyDescent="0.6">
      <c r="B1" s="103" t="s">
        <v>88</v>
      </c>
    </row>
    <row r="3" spans="2:2" ht="14.7" thickBot="1" x14ac:dyDescent="0.6">
      <c r="B3" s="133"/>
    </row>
    <row r="4" spans="2:2" ht="15.9" thickBot="1" x14ac:dyDescent="0.6">
      <c r="B4" s="135" t="s">
        <v>98</v>
      </c>
    </row>
    <row r="5" spans="2:2" ht="15.6" x14ac:dyDescent="0.55000000000000004">
      <c r="B5" s="104"/>
    </row>
    <row r="6" spans="2:2" ht="28.8" x14ac:dyDescent="0.55000000000000004">
      <c r="B6" s="105" t="s">
        <v>97</v>
      </c>
    </row>
    <row r="7" spans="2:2" x14ac:dyDescent="0.55000000000000004">
      <c r="B7" s="105"/>
    </row>
    <row r="8" spans="2:2" ht="29.1" thickBot="1" x14ac:dyDescent="0.6">
      <c r="B8" s="131" t="s">
        <v>58</v>
      </c>
    </row>
    <row r="9" spans="2:2" x14ac:dyDescent="0.55000000000000004">
      <c r="B9" s="105"/>
    </row>
    <row r="10" spans="2:2" ht="14.7" thickBot="1" x14ac:dyDescent="0.6">
      <c r="B10" s="131"/>
    </row>
    <row r="11" spans="2:2" ht="15.9" thickBot="1" x14ac:dyDescent="0.6">
      <c r="B11" s="136" t="s">
        <v>99</v>
      </c>
    </row>
    <row r="12" spans="2:2" ht="15.6" x14ac:dyDescent="0.55000000000000004">
      <c r="B12" s="106"/>
    </row>
    <row r="13" spans="2:2" ht="28.8" x14ac:dyDescent="0.55000000000000004">
      <c r="B13" s="105" t="s">
        <v>59</v>
      </c>
    </row>
    <row r="14" spans="2:2" x14ac:dyDescent="0.55000000000000004">
      <c r="B14" s="105"/>
    </row>
    <row r="15" spans="2:2" ht="29.1" thickBot="1" x14ac:dyDescent="0.6">
      <c r="B15" s="131" t="s">
        <v>60</v>
      </c>
    </row>
    <row r="16" spans="2:2" x14ac:dyDescent="0.55000000000000004">
      <c r="B16" s="105"/>
    </row>
    <row r="17" spans="2:2" ht="14.7" thickBot="1" x14ac:dyDescent="0.6">
      <c r="B17" s="131"/>
    </row>
    <row r="18" spans="2:2" ht="15.9" thickBot="1" x14ac:dyDescent="0.6">
      <c r="B18" s="137" t="s">
        <v>100</v>
      </c>
    </row>
    <row r="19" spans="2:2" ht="15.6" x14ac:dyDescent="0.55000000000000004">
      <c r="B19" s="107"/>
    </row>
    <row r="20" spans="2:2" ht="28.8" x14ac:dyDescent="0.55000000000000004">
      <c r="B20" s="108" t="s">
        <v>61</v>
      </c>
    </row>
    <row r="21" spans="2:2" x14ac:dyDescent="0.55000000000000004">
      <c r="B21" s="108"/>
    </row>
    <row r="22" spans="2:2" ht="28.8" x14ac:dyDescent="0.55000000000000004">
      <c r="B22" s="108" t="s">
        <v>162</v>
      </c>
    </row>
    <row r="23" spans="2:2" x14ac:dyDescent="0.55000000000000004">
      <c r="B23" s="108"/>
    </row>
    <row r="24" spans="2:2" ht="14.5" customHeight="1" x14ac:dyDescent="0.55000000000000004">
      <c r="B24" s="108" t="s">
        <v>163</v>
      </c>
    </row>
    <row r="25" spans="2:2" ht="14.5" customHeight="1" x14ac:dyDescent="0.55000000000000004">
      <c r="B25" s="108"/>
    </row>
    <row r="26" spans="2:2" ht="29.1" thickBot="1" x14ac:dyDescent="0.6">
      <c r="B26" s="131" t="s">
        <v>62</v>
      </c>
    </row>
    <row r="27" spans="2:2" x14ac:dyDescent="0.55000000000000004">
      <c r="B27" s="105"/>
    </row>
    <row r="28" spans="2:2" ht="14.7" thickBot="1" x14ac:dyDescent="0.6">
      <c r="B28" s="131"/>
    </row>
    <row r="29" spans="2:2" ht="15.9" thickBot="1" x14ac:dyDescent="0.6">
      <c r="B29" s="136" t="s">
        <v>101</v>
      </c>
    </row>
    <row r="30" spans="2:2" ht="15.6" x14ac:dyDescent="0.55000000000000004">
      <c r="B30" s="106"/>
    </row>
    <row r="31" spans="2:2" ht="28.8" x14ac:dyDescent="0.55000000000000004">
      <c r="B31" s="105" t="s">
        <v>64</v>
      </c>
    </row>
    <row r="32" spans="2:2" x14ac:dyDescent="0.55000000000000004">
      <c r="B32" s="105"/>
    </row>
    <row r="33" spans="2:2" ht="28.8" x14ac:dyDescent="0.55000000000000004">
      <c r="B33" s="108" t="s">
        <v>63</v>
      </c>
    </row>
    <row r="34" spans="2:2" x14ac:dyDescent="0.55000000000000004">
      <c r="B34" s="105"/>
    </row>
    <row r="35" spans="2:2" ht="29.1" thickBot="1" x14ac:dyDescent="0.6">
      <c r="B35" s="131" t="s">
        <v>164</v>
      </c>
    </row>
    <row r="36" spans="2:2" x14ac:dyDescent="0.55000000000000004">
      <c r="B36" s="105"/>
    </row>
    <row r="37" spans="2:2" ht="14.7" thickBot="1" x14ac:dyDescent="0.6">
      <c r="B37" s="131"/>
    </row>
    <row r="38" spans="2:2" ht="15.9" thickBot="1" x14ac:dyDescent="0.6">
      <c r="B38" s="137" t="s">
        <v>102</v>
      </c>
    </row>
    <row r="39" spans="2:2" ht="15.6" x14ac:dyDescent="0.55000000000000004">
      <c r="B39" s="107"/>
    </row>
    <row r="40" spans="2:2" ht="29.1" thickBot="1" x14ac:dyDescent="0.6">
      <c r="B40" s="132" t="s">
        <v>65</v>
      </c>
    </row>
    <row r="41" spans="2:2" x14ac:dyDescent="0.55000000000000004">
      <c r="B41" s="105"/>
    </row>
    <row r="42" spans="2:2" ht="14.7" thickBot="1" x14ac:dyDescent="0.6">
      <c r="B42" s="131"/>
    </row>
    <row r="43" spans="2:2" ht="15.9" thickBot="1" x14ac:dyDescent="0.6">
      <c r="B43" s="137" t="s">
        <v>103</v>
      </c>
    </row>
    <row r="44" spans="2:2" ht="15.6" x14ac:dyDescent="0.55000000000000004">
      <c r="B44" s="107"/>
    </row>
    <row r="45" spans="2:2" x14ac:dyDescent="0.55000000000000004">
      <c r="B45" s="134" t="s">
        <v>66</v>
      </c>
    </row>
    <row r="46" spans="2:2" x14ac:dyDescent="0.55000000000000004">
      <c r="B46" s="108"/>
    </row>
    <row r="47" spans="2:2" ht="28.8" x14ac:dyDescent="0.55000000000000004">
      <c r="B47" s="108" t="s">
        <v>69</v>
      </c>
    </row>
    <row r="48" spans="2:2" x14ac:dyDescent="0.55000000000000004">
      <c r="B48" s="150"/>
    </row>
    <row r="49" spans="2:2" ht="28.8" x14ac:dyDescent="0.55000000000000004">
      <c r="B49" s="108" t="s">
        <v>148</v>
      </c>
    </row>
    <row r="50" spans="2:2" x14ac:dyDescent="0.55000000000000004">
      <c r="B50" s="150"/>
    </row>
    <row r="51" spans="2:2" ht="28.8" x14ac:dyDescent="0.55000000000000004">
      <c r="B51" s="108" t="s">
        <v>67</v>
      </c>
    </row>
    <row r="52" spans="2:2" x14ac:dyDescent="0.55000000000000004">
      <c r="B52" s="150"/>
    </row>
    <row r="53" spans="2:2" ht="29.05" customHeight="1" x14ac:dyDescent="0.55000000000000004">
      <c r="B53" s="108" t="s">
        <v>70</v>
      </c>
    </row>
    <row r="54" spans="2:2" x14ac:dyDescent="0.55000000000000004">
      <c r="B54" s="150"/>
    </row>
    <row r="55" spans="2:2" ht="29.05" customHeight="1" x14ac:dyDescent="0.55000000000000004">
      <c r="B55" s="108" t="s">
        <v>71</v>
      </c>
    </row>
    <row r="56" spans="2:2" x14ac:dyDescent="0.55000000000000004">
      <c r="B56" s="108"/>
    </row>
    <row r="57" spans="2:2" x14ac:dyDescent="0.55000000000000004">
      <c r="B57" s="134" t="s">
        <v>68</v>
      </c>
    </row>
    <row r="58" spans="2:2" x14ac:dyDescent="0.55000000000000004">
      <c r="B58" s="150"/>
    </row>
    <row r="59" spans="2:2" ht="14.5" customHeight="1" x14ac:dyDescent="0.55000000000000004">
      <c r="B59" s="108" t="s">
        <v>149</v>
      </c>
    </row>
    <row r="60" spans="2:2" ht="14.5" customHeight="1" x14ac:dyDescent="0.55000000000000004">
      <c r="B60" s="150"/>
    </row>
    <row r="61" spans="2:2" ht="14.5" customHeight="1" x14ac:dyDescent="0.55000000000000004">
      <c r="B61" s="108" t="s">
        <v>150</v>
      </c>
    </row>
    <row r="62" spans="2:2" ht="14.5" customHeight="1" x14ac:dyDescent="0.55000000000000004">
      <c r="B62" s="150"/>
    </row>
    <row r="63" spans="2:2" ht="29.05" customHeight="1" x14ac:dyDescent="0.55000000000000004">
      <c r="B63" s="108" t="s">
        <v>151</v>
      </c>
    </row>
    <row r="64" spans="2:2" ht="14.5" customHeight="1" x14ac:dyDescent="0.55000000000000004">
      <c r="B64" s="150"/>
    </row>
    <row r="65" spans="2:2" ht="14.5" customHeight="1" x14ac:dyDescent="0.55000000000000004">
      <c r="B65" s="108" t="s">
        <v>152</v>
      </c>
    </row>
    <row r="66" spans="2:2" ht="14.5" customHeight="1" x14ac:dyDescent="0.55000000000000004">
      <c r="B66" s="150"/>
    </row>
    <row r="67" spans="2:2" ht="14.5" customHeight="1" x14ac:dyDescent="0.55000000000000004">
      <c r="B67" s="108" t="s">
        <v>153</v>
      </c>
    </row>
    <row r="68" spans="2:2" ht="14.5" customHeight="1" x14ac:dyDescent="0.55000000000000004">
      <c r="B68" s="150"/>
    </row>
    <row r="69" spans="2:2" ht="29.05" customHeight="1" x14ac:dyDescent="0.55000000000000004">
      <c r="B69" s="151" t="s">
        <v>154</v>
      </c>
    </row>
    <row r="70" spans="2:2" ht="14.5" customHeight="1" x14ac:dyDescent="0.55000000000000004">
      <c r="B70" s="150"/>
    </row>
    <row r="71" spans="2:2" ht="29.05" customHeight="1" x14ac:dyDescent="0.55000000000000004">
      <c r="B71" s="108" t="s">
        <v>155</v>
      </c>
    </row>
    <row r="72" spans="2:2" ht="14.5" customHeight="1" x14ac:dyDescent="0.55000000000000004">
      <c r="B72" s="150"/>
    </row>
    <row r="73" spans="2:2" ht="29.05" customHeight="1" x14ac:dyDescent="0.55000000000000004">
      <c r="B73" s="108" t="s">
        <v>156</v>
      </c>
    </row>
    <row r="74" spans="2:2" ht="14.5" customHeight="1" x14ac:dyDescent="0.55000000000000004">
      <c r="B74" s="150"/>
    </row>
    <row r="75" spans="2:2" ht="29.05" customHeight="1" x14ac:dyDescent="0.55000000000000004">
      <c r="B75" s="108" t="s">
        <v>157</v>
      </c>
    </row>
    <row r="76" spans="2:2" ht="14.5" customHeight="1" x14ac:dyDescent="0.55000000000000004">
      <c r="B76" s="150"/>
    </row>
    <row r="77" spans="2:2" ht="14.5" customHeight="1" x14ac:dyDescent="0.55000000000000004">
      <c r="B77" s="108" t="s">
        <v>158</v>
      </c>
    </row>
    <row r="78" spans="2:2" ht="14.5" customHeight="1" x14ac:dyDescent="0.55000000000000004">
      <c r="B78" s="108"/>
    </row>
    <row r="79" spans="2:2" x14ac:dyDescent="0.55000000000000004">
      <c r="B79" s="134" t="s">
        <v>72</v>
      </c>
    </row>
    <row r="80" spans="2:2" x14ac:dyDescent="0.55000000000000004">
      <c r="B80" s="108"/>
    </row>
    <row r="81" spans="2:2" ht="28.8" x14ac:dyDescent="0.55000000000000004">
      <c r="B81" s="108" t="s">
        <v>159</v>
      </c>
    </row>
    <row r="82" spans="2:2" x14ac:dyDescent="0.55000000000000004">
      <c r="B82" s="108"/>
    </row>
    <row r="83" spans="2:2" x14ac:dyDescent="0.55000000000000004">
      <c r="B83" s="134" t="s">
        <v>73</v>
      </c>
    </row>
    <row r="84" spans="2:2" x14ac:dyDescent="0.55000000000000004">
      <c r="B84" s="108"/>
    </row>
    <row r="85" spans="2:2" ht="28.8" x14ac:dyDescent="0.55000000000000004">
      <c r="B85" s="108" t="s">
        <v>160</v>
      </c>
    </row>
    <row r="86" spans="2:2" x14ac:dyDescent="0.55000000000000004">
      <c r="B86" s="108"/>
    </row>
    <row r="87" spans="2:2" ht="29.1" thickBot="1" x14ac:dyDescent="0.6">
      <c r="B87" s="132" t="s">
        <v>74</v>
      </c>
    </row>
    <row r="88" spans="2:2" ht="14.7" thickBot="1" x14ac:dyDescent="0.6">
      <c r="B88" s="109"/>
    </row>
    <row r="89" spans="2:2" ht="14.7" thickTop="1" x14ac:dyDescent="0.55000000000000004"/>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690A7-CB64-49C0-AD04-98C81D219C39}">
  <dimension ref="A3:R22"/>
  <sheetViews>
    <sheetView workbookViewId="0">
      <selection activeCell="C3" sqref="C3"/>
    </sheetView>
  </sheetViews>
  <sheetFormatPr defaultColWidth="8.734375" defaultRowHeight="14.4" x14ac:dyDescent="0.55000000000000004"/>
  <cols>
    <col min="1" max="2" width="8.734375" style="1"/>
    <col min="3" max="3" width="5.15625" style="1" customWidth="1"/>
    <col min="4" max="4" width="30.62890625" style="1" customWidth="1"/>
    <col min="5" max="5" width="8.734375" style="1"/>
    <col min="6" max="7" width="12.62890625" style="1" customWidth="1"/>
    <col min="8" max="8" width="5.15625" style="1" customWidth="1"/>
    <col min="9" max="9" width="30.62890625" style="1" customWidth="1"/>
    <col min="10" max="10" width="8.734375" style="1"/>
    <col min="11" max="11" width="12.62890625" style="1" customWidth="1"/>
    <col min="12" max="16384" width="8.734375" style="1"/>
  </cols>
  <sheetData>
    <row r="3" spans="1:18" ht="14.7" thickBot="1" x14ac:dyDescent="0.6">
      <c r="C3" s="119"/>
      <c r="D3" s="60" t="s">
        <v>76</v>
      </c>
      <c r="E3" s="11"/>
      <c r="F3" s="11"/>
      <c r="G3" s="11"/>
      <c r="H3" s="11"/>
      <c r="I3" s="11"/>
      <c r="J3" s="11"/>
      <c r="K3" s="11"/>
    </row>
    <row r="4" spans="1:18" ht="14.7" thickTop="1" x14ac:dyDescent="0.55000000000000004">
      <c r="A4" s="56"/>
      <c r="B4" s="56"/>
      <c r="C4" s="95"/>
      <c r="I4" s="25"/>
      <c r="J4" s="25"/>
      <c r="K4" s="25"/>
    </row>
    <row r="5" spans="1:18" x14ac:dyDescent="0.55000000000000004">
      <c r="A5" s="56"/>
      <c r="B5" s="56"/>
      <c r="C5" s="120">
        <v>1</v>
      </c>
      <c r="D5" s="44" t="s">
        <v>21</v>
      </c>
      <c r="E5" s="25"/>
      <c r="F5" s="45"/>
      <c r="G5" s="46"/>
      <c r="H5" s="115">
        <v>1</v>
      </c>
      <c r="I5" s="52" t="s">
        <v>129</v>
      </c>
      <c r="J5" s="52"/>
      <c r="K5" s="59">
        <f>Setup!H21</f>
        <v>0</v>
      </c>
    </row>
    <row r="6" spans="1:18" x14ac:dyDescent="0.55000000000000004">
      <c r="A6" s="56"/>
      <c r="B6" s="56"/>
      <c r="C6" s="120"/>
      <c r="D6" s="25"/>
      <c r="E6" s="25"/>
      <c r="F6" s="25"/>
      <c r="G6" s="25"/>
      <c r="H6" s="115">
        <v>1</v>
      </c>
      <c r="I6" s="57" t="s">
        <v>130</v>
      </c>
      <c r="J6" s="57"/>
      <c r="K6" s="58">
        <f>IFERROR(Setup!H56, I18)</f>
        <v>0</v>
      </c>
    </row>
    <row r="7" spans="1:18" x14ac:dyDescent="0.55000000000000004">
      <c r="A7" s="56"/>
      <c r="B7" s="56"/>
      <c r="C7" s="120">
        <v>1</v>
      </c>
      <c r="D7" s="44" t="s">
        <v>133</v>
      </c>
      <c r="E7" s="25"/>
      <c r="F7" s="45"/>
      <c r="H7" s="115">
        <v>1</v>
      </c>
      <c r="I7" s="52" t="s">
        <v>134</v>
      </c>
      <c r="K7" s="149">
        <f>IF(Assumptions!G7=Assumptions!G5, Assumptions!F5+F7, Assumptions!F5+Assumptions!G7)</f>
        <v>0</v>
      </c>
    </row>
    <row r="8" spans="1:18" x14ac:dyDescent="0.55000000000000004">
      <c r="A8" s="56"/>
      <c r="B8" s="56"/>
      <c r="C8" s="120"/>
      <c r="D8" s="25"/>
      <c r="E8" s="25"/>
      <c r="F8" s="46"/>
      <c r="G8" s="46"/>
      <c r="H8" s="115"/>
      <c r="M8" s="3"/>
    </row>
    <row r="9" spans="1:18" x14ac:dyDescent="0.55000000000000004">
      <c r="A9" s="56"/>
      <c r="B9" s="56"/>
      <c r="C9" s="120">
        <v>1</v>
      </c>
      <c r="D9" s="44" t="s">
        <v>89</v>
      </c>
      <c r="E9" s="25"/>
      <c r="F9" s="51"/>
      <c r="G9" s="113"/>
      <c r="H9" s="115">
        <v>1</v>
      </c>
      <c r="I9" s="25" t="s">
        <v>32</v>
      </c>
      <c r="J9" s="25"/>
      <c r="K9" s="53"/>
      <c r="M9" s="3"/>
      <c r="R9" s="16"/>
    </row>
    <row r="10" spans="1:18" x14ac:dyDescent="0.55000000000000004">
      <c r="A10" s="56"/>
      <c r="B10" s="56"/>
      <c r="C10" s="120"/>
      <c r="D10" s="25"/>
      <c r="E10" s="25"/>
      <c r="F10" s="25"/>
      <c r="G10" s="25"/>
      <c r="H10" s="115"/>
      <c r="M10" s="3"/>
      <c r="R10" s="16"/>
    </row>
    <row r="11" spans="1:18" x14ac:dyDescent="0.55000000000000004">
      <c r="A11" s="56"/>
      <c r="B11" s="56"/>
      <c r="C11" s="120">
        <v>1</v>
      </c>
      <c r="D11" s="44" t="s">
        <v>27</v>
      </c>
      <c r="E11" s="25"/>
      <c r="F11" s="47"/>
      <c r="G11" s="114"/>
      <c r="H11" s="115"/>
      <c r="M11" s="3"/>
      <c r="R11" s="16"/>
    </row>
    <row r="12" spans="1:18" x14ac:dyDescent="0.55000000000000004">
      <c r="A12" s="56"/>
      <c r="B12" s="56"/>
      <c r="C12" s="120"/>
      <c r="D12" s="25"/>
      <c r="E12" s="25"/>
      <c r="F12" s="46"/>
      <c r="G12" s="46"/>
      <c r="H12" s="115">
        <v>1</v>
      </c>
      <c r="I12" s="21" t="s">
        <v>33</v>
      </c>
      <c r="J12" s="21"/>
      <c r="K12" s="49" t="str">
        <f>IFERROR(Model!I18, I16)</f>
        <v>NO</v>
      </c>
      <c r="M12" s="3"/>
      <c r="R12" s="16"/>
    </row>
    <row r="13" spans="1:18" x14ac:dyDescent="0.55000000000000004">
      <c r="A13" s="56"/>
      <c r="B13" s="56"/>
      <c r="C13" s="120">
        <v>1</v>
      </c>
      <c r="D13" s="25" t="s">
        <v>30</v>
      </c>
      <c r="E13" s="25"/>
      <c r="F13" s="45"/>
      <c r="G13" s="46"/>
      <c r="H13" s="115">
        <v>1</v>
      </c>
      <c r="I13" s="21" t="s">
        <v>52</v>
      </c>
      <c r="J13" s="21"/>
      <c r="K13" s="35" t="str">
        <f>IFERROR(Model!I19, I17)</f>
        <v>none</v>
      </c>
      <c r="M13" s="3"/>
      <c r="R13" s="16"/>
    </row>
    <row r="14" spans="1:18" x14ac:dyDescent="0.55000000000000004">
      <c r="A14" s="56"/>
      <c r="B14" s="56"/>
      <c r="C14" s="120"/>
      <c r="D14" s="25"/>
      <c r="E14" s="25"/>
      <c r="F14" s="25"/>
      <c r="G14" s="25"/>
      <c r="H14" s="115">
        <v>1</v>
      </c>
      <c r="I14" s="21" t="s">
        <v>53</v>
      </c>
      <c r="J14" s="21"/>
      <c r="K14" s="35" t="str">
        <f>IFERROR(Model!I20, I17)</f>
        <v>none</v>
      </c>
      <c r="M14" s="3"/>
      <c r="R14" s="16"/>
    </row>
    <row r="15" spans="1:18" x14ac:dyDescent="0.55000000000000004">
      <c r="A15" s="56"/>
      <c r="B15" s="56"/>
      <c r="C15" s="120">
        <v>1</v>
      </c>
      <c r="D15" s="25" t="s">
        <v>104</v>
      </c>
      <c r="E15" s="25"/>
      <c r="F15" s="45"/>
      <c r="G15" s="46"/>
      <c r="H15" s="115">
        <v>1</v>
      </c>
      <c r="I15" s="21" t="s">
        <v>75</v>
      </c>
      <c r="J15" s="21"/>
      <c r="K15" s="73" t="str">
        <f>IF(Model!I16&gt;0,Model!I16,I17)</f>
        <v>none</v>
      </c>
      <c r="R15" s="16"/>
    </row>
    <row r="16" spans="1:18" x14ac:dyDescent="0.55000000000000004">
      <c r="A16" s="56"/>
      <c r="B16" s="56"/>
      <c r="C16" s="120"/>
      <c r="D16" s="25"/>
      <c r="E16" s="25"/>
      <c r="F16" s="25"/>
      <c r="G16" s="25"/>
      <c r="I16" s="55" t="s">
        <v>55</v>
      </c>
      <c r="R16" s="16"/>
    </row>
    <row r="17" spans="3:11" x14ac:dyDescent="0.55000000000000004">
      <c r="C17" s="120">
        <v>1</v>
      </c>
      <c r="D17" s="44" t="s">
        <v>28</v>
      </c>
      <c r="E17" s="25"/>
      <c r="F17" s="18"/>
      <c r="G17" s="25"/>
      <c r="I17" s="55" t="s">
        <v>20</v>
      </c>
      <c r="J17" s="3" t="s">
        <v>29</v>
      </c>
      <c r="K17" s="19">
        <f>IF(Setup!H7&lt;2020, H14, Setup!H7)</f>
        <v>1</v>
      </c>
    </row>
    <row r="18" spans="3:11" ht="14.7" thickBot="1" x14ac:dyDescent="0.6">
      <c r="C18" s="119"/>
      <c r="D18" s="11"/>
      <c r="E18" s="11"/>
      <c r="F18" s="11"/>
      <c r="G18" s="11"/>
      <c r="H18" s="11"/>
      <c r="I18" s="92">
        <v>0</v>
      </c>
      <c r="J18" s="11"/>
      <c r="K18" s="11"/>
    </row>
    <row r="19" spans="3:11" ht="14.7" thickTop="1" x14ac:dyDescent="0.55000000000000004"/>
    <row r="22" spans="3:11" x14ac:dyDescent="0.55000000000000004">
      <c r="G22" s="141"/>
    </row>
  </sheetData>
  <phoneticPr fontId="5" type="noConversion"/>
  <conditionalFormatting sqref="F7">
    <cfRule type="cellIs" dxfId="1" priority="10" operator="notEqual">
      <formula>$K$7</formula>
    </cfRule>
  </conditionalFormatting>
  <dataValidations count="15">
    <dataValidation allowBlank="1" showInputMessage="1" showErrorMessage="1" prompt="This is the duration of the project from the start of selling credits (year 0) to the end of selling credits (final year of project)." sqref="C5" xr:uid="{6E95484F-FBE2-42ED-849B-D9883A0A1FF4}"/>
    <dataValidation allowBlank="1" showInputMessage="1" showErrorMessage="1" prompt="This is the number of hectares restored." sqref="C9" xr:uid="{35A82B10-2EE3-4597-809D-12FDFF1CCDDB}"/>
    <dataValidation allowBlank="1" showInputMessage="1" showErrorMessage="1" prompt="Average credits per hectare per year input e.g. 10 credits for restoring actively eroding, or 20 credits for restoring drained, to either re-vegetated or to modified peatland. Averages are used when estimated credits are not amended in assumptions tab. " sqref="C7" xr:uid="{7C018D04-C091-42DD-BA5C-162A72BB1CFA}"/>
    <dataValidation allowBlank="1" showInputMessage="1" showErrorMessage="1" prompt="This is the amount invested in the restoration. Investment could be a loan or any investment that would need servicing over the duration of the project." sqref="C11" xr:uid="{8CEE7000-92D1-4ACD-867D-D5825158A189}"/>
    <dataValidation allowBlank="1" showInputMessage="1" showErrorMessage="1" prompt="Registry costs include costs for registering, processing, and selling credits, and for validation and verification. Registry costs are important factors in profitability and need careful consideration. Details can be amended in the assumptions tab." sqref="C13" xr:uid="{4CE07C73-E494-47AC-851A-984668FDD4A3}"/>
    <dataValidation allowBlank="1" showInputMessage="1" showErrorMessage="1" prompt="Investment costs include servicing the investment or loan over the project period. Investment costs are important factors in profitability and need careful consideration. Investment servicing arrangements can be amended in the assumptions tab." sqref="C15" xr:uid="{3C758D8B-ED40-4860-B0F7-D86D7CD46EFB}"/>
    <dataValidation allowBlank="1" showInputMessage="1" showErrorMessage="1" prompt="These are the calendar years for the start of selling credits (year 0) and the end of selling credits (final year of project)." sqref="C17" xr:uid="{C42E7DC9-BC88-4BC0-84FC-B357D76D12CF}"/>
    <dataValidation allowBlank="1" showInputMessage="1" showErrorMessage="1" prompt="Carbon credits generated by the restored area. Total credits generated are determined by the type of restoration, the project duration, and the number of hectares restored." sqref="H5" xr:uid="{8C952F0E-CCCE-4A29-BAF9-15944C74E702}"/>
    <dataValidation allowBlank="1" showInputMessage="1" showErrorMessage="1" prompt="This is the initial cost of generating each credit at year 0. It is the investment amount and investment servicing costs divided by total credits generated over the project duration." sqref="H6" xr:uid="{841FB159-6B2C-4C5D-BEB2-443D38EE6C27}"/>
    <dataValidation allowBlank="1" showInputMessage="1" showErrorMessage="1" prompt="This is the price the seller wishes to sell each credit for.  It is the same selling price from year 0 to final year of the project. This selling price can be adjusted until a profitable outcome is shown below." sqref="H9" xr:uid="{4D43D744-CDD4-4B1F-8748-6440F3041BB0}"/>
    <dataValidation allowBlank="1" showInputMessage="1" showErrorMessage="1" prompt="This is a composite indicator. It shows Yes when the rate of return, compound annualised rate of growth, gross present value, and net present value are positive. The indicators are explained in the model tab." sqref="H12" xr:uid="{6446F409-0BE0-4B19-9C0A-1F168C005E97}"/>
    <dataValidation allowBlank="1" showInputMessage="1" showErrorMessage="1" prompt="This is the profit per credit. It is the net present value divided by total credits. Net present value excludes costs during the project duration. The indicators are explained in the model tab." sqref="H13" xr:uid="{AAC5E73C-0C48-4D24-B956-ED042C3D3C12}"/>
    <dataValidation allowBlank="1" showInputMessage="1" showErrorMessage="1" prompt="This is the profit per hectare per year. It is the net present value divided by hectares and by years. Net present value excludes costs during the project duration. The indicators are explained in the model tab." sqref="H14" xr:uid="{16D09A5E-1547-41F5-886F-501613E10213}"/>
    <dataValidation allowBlank="1" showInputMessage="1" showErrorMessage="1" prompt="This is the total profit across the project duration.  It is the net present value of the investment. Net present value excludes costs during the project duration. The indicators are explained in the model tab." sqref="H15" xr:uid="{F3283B3E-57B3-4710-9A21-F95802FCD2AD}"/>
    <dataValidation allowBlank="1" showInputMessage="1" showErrorMessage="1" prompt="Estimated credits per hectare per year are based on emission calculator tools and amended in the assumptions tab. When calculated, and amended in the assumptions tab, estimated credits overwrite average credits are shown here and used in calculations. " sqref="H7" xr:uid="{A072E487-F8DF-417E-AA20-50068427478C}"/>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9" id="{234DBEC5-4EB5-4E1C-B4AF-5ADB8E2E4660}">
            <x14:iconSet iconSet="3Symbols" custom="1">
              <x14:cfvo type="percent">
                <xm:f>0</xm:f>
              </x14:cfvo>
              <x14:cfvo type="num">
                <xm:f>1</xm:f>
              </x14:cfvo>
              <x14:cfvo type="num">
                <xm:f>2</xm:f>
              </x14:cfvo>
              <x14:cfIcon iconSet="NoIcons" iconId="0"/>
              <x14:cfIcon iconSet="3Symbols" iconId="1"/>
              <x14:cfIcon iconSet="NoIcons" iconId="0"/>
            </x14:iconSet>
          </x14:cfRule>
          <xm:sqref>C4:C18</xm:sqref>
        </x14:conditionalFormatting>
        <x14:conditionalFormatting xmlns:xm="http://schemas.microsoft.com/office/excel/2006/main">
          <x14:cfRule type="iconSet" priority="8" id="{7E95C06F-411B-49B8-820A-414F6B302882}">
            <x14:iconSet iconSet="3Symbols" custom="1">
              <x14:cfvo type="percent">
                <xm:f>0</xm:f>
              </x14:cfvo>
              <x14:cfvo type="num">
                <xm:f>1</xm:f>
              </x14:cfvo>
              <x14:cfvo type="num" gte="0">
                <xm:f>2</xm:f>
              </x14:cfvo>
              <x14:cfIcon iconSet="NoIcons" iconId="0"/>
              <x14:cfIcon iconSet="3Symbols" iconId="1"/>
              <x14:cfIcon iconSet="NoIcons" iconId="0"/>
            </x14:iconSet>
          </x14:cfRule>
          <xm:sqref>H5:H15</xm:sqref>
        </x14:conditionalFormatting>
        <x14:conditionalFormatting xmlns:xm="http://schemas.microsoft.com/office/excel/2006/main">
          <x14:cfRule type="cellIs" priority="1" operator="equal" id="{1E21FD26-D4D8-4A42-909A-0D404D23897E}">
            <xm:f>Assumptions!$G$7</xm:f>
            <x14:dxf>
              <font>
                <color theme="0"/>
              </font>
              <fill>
                <patternFill>
                  <bgColor theme="0"/>
                </patternFill>
              </fill>
              <border>
                <left/>
                <right/>
                <top/>
                <bottom/>
                <vertical/>
                <horizontal/>
              </border>
            </x14:dxf>
          </x14:cfRule>
          <xm:sqref>I7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2177F5CC-E1BD-4F86-B61A-9171754071A0}">
          <x14:formula1>
            <xm:f>Setup!$E$48:$E$49</xm:f>
          </x14:formula1>
          <xm:sqref>F13:G13</xm:sqref>
        </x14:dataValidation>
        <x14:dataValidation type="list" allowBlank="1" showInputMessage="1" showErrorMessage="1" xr:uid="{9579F6A9-A583-4B4E-B23A-D6067D402D87}">
          <x14:formula1>
            <xm:f>Setup!$F$48:$F$49</xm:f>
          </x14:formula1>
          <xm:sqref>F15:G15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E4340-7748-403C-8414-76F94D0D6D82}">
  <dimension ref="C1:H31"/>
  <sheetViews>
    <sheetView topLeftCell="C1" zoomScaleNormal="100" workbookViewId="0">
      <pane ySplit="1" topLeftCell="A2" activePane="bottomLeft" state="frozen"/>
      <selection pane="bottomLeft" activeCell="D3" sqref="D3"/>
    </sheetView>
  </sheetViews>
  <sheetFormatPr defaultColWidth="8.734375" defaultRowHeight="14.4" x14ac:dyDescent="0.55000000000000004"/>
  <cols>
    <col min="1" max="3" width="8.734375" style="1"/>
    <col min="4" max="4" width="5.15625" style="1" customWidth="1"/>
    <col min="5" max="5" width="72" style="1" bestFit="1" customWidth="1"/>
    <col min="6" max="8" width="14.62890625" style="56" customWidth="1"/>
    <col min="9" max="16384" width="8.734375" style="1"/>
  </cols>
  <sheetData>
    <row r="1" spans="3:8" ht="72" x14ac:dyDescent="0.55000000000000004">
      <c r="D1" s="3"/>
      <c r="E1" s="138"/>
      <c r="F1" s="61" t="s">
        <v>50</v>
      </c>
      <c r="G1" s="64" t="s">
        <v>49</v>
      </c>
      <c r="H1" s="61" t="s">
        <v>51</v>
      </c>
    </row>
    <row r="2" spans="3:8" x14ac:dyDescent="0.55000000000000004">
      <c r="D2" s="3"/>
      <c r="E2" s="3"/>
      <c r="F2" s="62"/>
      <c r="G2" s="65"/>
      <c r="H2" s="62"/>
    </row>
    <row r="3" spans="3:8" ht="14.7" thickBot="1" x14ac:dyDescent="0.6">
      <c r="D3" s="7"/>
      <c r="E3" s="8" t="s">
        <v>77</v>
      </c>
      <c r="F3" s="71"/>
      <c r="G3" s="72"/>
      <c r="H3" s="71"/>
    </row>
    <row r="4" spans="3:8" ht="14.7" thickTop="1" x14ac:dyDescent="0.55000000000000004">
      <c r="D4" s="3"/>
      <c r="E4" s="3"/>
      <c r="F4" s="62"/>
      <c r="G4" s="62"/>
      <c r="H4" s="62"/>
    </row>
    <row r="5" spans="3:8" x14ac:dyDescent="0.55000000000000004">
      <c r="C5" s="115"/>
      <c r="D5" s="115">
        <v>1</v>
      </c>
      <c r="E5" s="26" t="s">
        <v>113</v>
      </c>
      <c r="F5" s="102">
        <v>0</v>
      </c>
      <c r="G5" s="62"/>
      <c r="H5" s="62"/>
    </row>
    <row r="6" spans="3:8" ht="14.5" customHeight="1" x14ac:dyDescent="0.55000000000000004">
      <c r="D6" s="115">
        <v>1</v>
      </c>
      <c r="E6" s="139" t="s">
        <v>114</v>
      </c>
      <c r="F6" s="37"/>
      <c r="G6" s="37"/>
      <c r="H6" s="37"/>
    </row>
    <row r="7" spans="3:8" ht="14.7" thickBot="1" x14ac:dyDescent="0.6">
      <c r="D7" s="121">
        <v>1</v>
      </c>
      <c r="E7" s="140" t="s">
        <v>115</v>
      </c>
      <c r="F7" s="37">
        <f>Input!F7</f>
        <v>0</v>
      </c>
      <c r="G7" s="143"/>
      <c r="H7" s="37">
        <f>IF(G7=$G$5, F7, G7)</f>
        <v>0</v>
      </c>
    </row>
    <row r="8" spans="3:8" x14ac:dyDescent="0.55000000000000004">
      <c r="D8" s="95"/>
      <c r="E8" s="38"/>
      <c r="F8" s="62"/>
      <c r="G8" s="65"/>
      <c r="H8" s="37"/>
    </row>
    <row r="9" spans="3:8" x14ac:dyDescent="0.55000000000000004">
      <c r="D9" s="115">
        <v>1</v>
      </c>
      <c r="E9" s="26" t="s">
        <v>131</v>
      </c>
      <c r="F9" s="37"/>
      <c r="G9" s="67"/>
      <c r="H9" s="37"/>
    </row>
    <row r="10" spans="3:8" x14ac:dyDescent="0.55000000000000004">
      <c r="D10" s="115">
        <v>1</v>
      </c>
      <c r="E10" s="3" t="s">
        <v>0</v>
      </c>
      <c r="F10" s="63">
        <v>2.35</v>
      </c>
      <c r="G10" s="66"/>
      <c r="H10" s="69">
        <f>IF(G10=$G$5, F10/100, G10/100)</f>
        <v>2.35E-2</v>
      </c>
    </row>
    <row r="11" spans="3:8" ht="14.7" thickBot="1" x14ac:dyDescent="0.6">
      <c r="D11" s="121">
        <v>1</v>
      </c>
      <c r="E11" s="6" t="s">
        <v>1</v>
      </c>
      <c r="F11" s="63">
        <v>2.1</v>
      </c>
      <c r="G11" s="66"/>
      <c r="H11" s="69">
        <f>IF(G11=$G$5, F11/100, G11/100)</f>
        <v>2.1000000000000001E-2</v>
      </c>
    </row>
    <row r="12" spans="3:8" x14ac:dyDescent="0.55000000000000004">
      <c r="D12" s="95"/>
      <c r="E12" s="3"/>
      <c r="F12" s="37"/>
      <c r="G12" s="67"/>
      <c r="H12" s="37"/>
    </row>
    <row r="13" spans="3:8" x14ac:dyDescent="0.55000000000000004">
      <c r="D13" s="115">
        <v>1</v>
      </c>
      <c r="E13" s="26" t="s">
        <v>48</v>
      </c>
      <c r="F13" s="37"/>
      <c r="G13" s="67"/>
      <c r="H13" s="37"/>
    </row>
    <row r="14" spans="3:8" x14ac:dyDescent="0.55000000000000004">
      <c r="D14" s="115">
        <v>1</v>
      </c>
      <c r="E14" s="3" t="s">
        <v>126</v>
      </c>
      <c r="F14" s="37">
        <v>0</v>
      </c>
      <c r="G14" s="66"/>
      <c r="H14" s="37">
        <f t="shared" ref="H14:H23" si="0">IF(G14=$G$5, F14, G14)</f>
        <v>0</v>
      </c>
    </row>
    <row r="15" spans="3:8" x14ac:dyDescent="0.55000000000000004">
      <c r="D15" s="115">
        <v>1</v>
      </c>
      <c r="E15" s="3" t="s">
        <v>117</v>
      </c>
      <c r="F15" s="37">
        <v>0.05</v>
      </c>
      <c r="G15" s="70"/>
      <c r="H15" s="37">
        <f t="shared" si="0"/>
        <v>0.05</v>
      </c>
    </row>
    <row r="16" spans="3:8" x14ac:dyDescent="0.55000000000000004">
      <c r="D16" s="115">
        <v>1</v>
      </c>
      <c r="E16" s="3" t="s">
        <v>118</v>
      </c>
      <c r="F16" s="37">
        <v>100</v>
      </c>
      <c r="G16" s="70"/>
      <c r="H16" s="37">
        <f t="shared" si="0"/>
        <v>100</v>
      </c>
    </row>
    <row r="17" spans="4:8" x14ac:dyDescent="0.55000000000000004">
      <c r="D17" s="115">
        <v>1</v>
      </c>
      <c r="E17" s="3" t="s">
        <v>119</v>
      </c>
      <c r="F17" s="37">
        <v>0.05</v>
      </c>
      <c r="G17" s="70"/>
      <c r="H17" s="37">
        <f t="shared" si="0"/>
        <v>0.05</v>
      </c>
    </row>
    <row r="18" spans="4:8" x14ac:dyDescent="0.55000000000000004">
      <c r="D18" s="115">
        <v>1</v>
      </c>
      <c r="E18" s="3" t="s">
        <v>120</v>
      </c>
      <c r="F18" s="37">
        <v>0.05</v>
      </c>
      <c r="G18" s="70"/>
      <c r="H18" s="37">
        <f t="shared" si="0"/>
        <v>0.05</v>
      </c>
    </row>
    <row r="19" spans="4:8" x14ac:dyDescent="0.55000000000000004">
      <c r="D19" s="115">
        <v>1</v>
      </c>
      <c r="E19" s="3" t="s">
        <v>121</v>
      </c>
      <c r="F19" s="37">
        <v>600</v>
      </c>
      <c r="G19" s="70"/>
      <c r="H19" s="37">
        <f t="shared" si="0"/>
        <v>600</v>
      </c>
    </row>
    <row r="20" spans="4:8" x14ac:dyDescent="0.55000000000000004">
      <c r="D20" s="115">
        <v>1</v>
      </c>
      <c r="E20" s="3" t="s">
        <v>122</v>
      </c>
      <c r="F20" s="37">
        <v>800</v>
      </c>
      <c r="G20" s="70"/>
      <c r="H20" s="37">
        <f t="shared" si="0"/>
        <v>800</v>
      </c>
    </row>
    <row r="21" spans="4:8" x14ac:dyDescent="0.55000000000000004">
      <c r="D21" s="115">
        <v>1</v>
      </c>
      <c r="E21" s="5" t="s">
        <v>123</v>
      </c>
      <c r="F21" s="37">
        <v>500</v>
      </c>
      <c r="G21" s="70"/>
      <c r="H21" s="37">
        <f t="shared" si="0"/>
        <v>500</v>
      </c>
    </row>
    <row r="22" spans="4:8" x14ac:dyDescent="0.55000000000000004">
      <c r="D22" s="115">
        <v>1</v>
      </c>
      <c r="E22" s="3" t="s">
        <v>124</v>
      </c>
      <c r="F22" s="37">
        <v>5</v>
      </c>
      <c r="G22" s="70"/>
      <c r="H22" s="37">
        <f t="shared" si="0"/>
        <v>5</v>
      </c>
    </row>
    <row r="23" spans="4:8" ht="14.7" thickBot="1" x14ac:dyDescent="0.6">
      <c r="D23" s="121">
        <v>1</v>
      </c>
      <c r="E23" s="6" t="s">
        <v>125</v>
      </c>
      <c r="F23" s="37">
        <v>2000</v>
      </c>
      <c r="G23" s="70"/>
      <c r="H23" s="37">
        <f t="shared" si="0"/>
        <v>2000</v>
      </c>
    </row>
    <row r="24" spans="4:8" x14ac:dyDescent="0.55000000000000004">
      <c r="D24" s="95"/>
      <c r="E24" s="3"/>
      <c r="F24" s="37"/>
      <c r="G24" s="67"/>
      <c r="H24" s="37"/>
    </row>
    <row r="25" spans="4:8" x14ac:dyDescent="0.55000000000000004">
      <c r="D25" s="115">
        <v>1</v>
      </c>
      <c r="E25" s="26" t="s">
        <v>132</v>
      </c>
      <c r="F25" s="37"/>
      <c r="G25" s="67"/>
      <c r="H25" s="37"/>
    </row>
    <row r="26" spans="4:8" x14ac:dyDescent="0.55000000000000004">
      <c r="D26" s="115">
        <v>1</v>
      </c>
      <c r="E26" s="33" t="s">
        <v>38</v>
      </c>
      <c r="F26" s="37"/>
      <c r="G26" s="67"/>
      <c r="H26" s="37"/>
    </row>
    <row r="27" spans="4:8" x14ac:dyDescent="0.55000000000000004">
      <c r="D27" s="115">
        <v>1</v>
      </c>
      <c r="E27" s="3" t="s">
        <v>127</v>
      </c>
      <c r="F27" s="63">
        <v>5</v>
      </c>
      <c r="G27" s="66"/>
      <c r="H27" s="69">
        <f>IF(G27=$G$5, F27/100, G27/100)</f>
        <v>0.05</v>
      </c>
    </row>
    <row r="28" spans="4:8" x14ac:dyDescent="0.55000000000000004">
      <c r="D28" s="115">
        <v>1</v>
      </c>
      <c r="E28" s="3" t="s">
        <v>128</v>
      </c>
      <c r="F28" s="37">
        <f>Input!F5</f>
        <v>0</v>
      </c>
      <c r="G28" s="70"/>
      <c r="H28" s="37">
        <f>IF(G28=$G$5, F28, G28)</f>
        <v>0</v>
      </c>
    </row>
    <row r="29" spans="4:8" ht="14.7" thickBot="1" x14ac:dyDescent="0.6">
      <c r="D29" s="121">
        <v>1</v>
      </c>
      <c r="E29" s="6" t="s">
        <v>42</v>
      </c>
      <c r="F29" s="37">
        <v>12</v>
      </c>
      <c r="G29" s="70"/>
      <c r="H29" s="37">
        <f>IF(G29=$G$5, F29, G29)</f>
        <v>12</v>
      </c>
    </row>
    <row r="30" spans="4:8" ht="14.7" thickBot="1" x14ac:dyDescent="0.6">
      <c r="D30" s="43"/>
      <c r="E30" s="43"/>
      <c r="F30" s="32"/>
      <c r="G30" s="68"/>
      <c r="H30" s="32"/>
    </row>
    <row r="31" spans="4:8" ht="14.7" thickTop="1" x14ac:dyDescent="0.55000000000000004">
      <c r="D31" s="3"/>
      <c r="E31" s="3"/>
      <c r="F31" s="37"/>
      <c r="G31" s="67"/>
      <c r="H31" s="37"/>
    </row>
  </sheetData>
  <dataValidations xWindow="183" yWindow="660" count="22">
    <dataValidation allowBlank="1" showInputMessage="1" showErrorMessage="1" prompt="The Carbon Connects site emission tool link here can be used to estimate credits generated from different projects. This calculator is appropriate for European projects. Specialist advise may be needed for completing the calculator." sqref="D6" xr:uid="{15270C3D-5699-459E-9C41-C3C768D11990}"/>
    <dataValidation allowBlank="1" showInputMessage="1" showErrorMessage="1" prompt="The Peatland Code emission calculators link here can be used to estimate credits generated from different projects. These calculators are appropriate for UK projects. Specialist advise may be needed for completing the calculators. " sqref="D7" xr:uid="{D2F860F4-E2C9-4D0F-91E0-404980BCE882}"/>
    <dataValidation allowBlank="1" showInputMessage="1" showErrorMessage="1" prompt="The nominal interest rate is set by central banks. An average over fifty year period must be used here. The nominal interest rate is needed for calculating the real interest rate, which is used in discounting. For the calculation see the setup tab." sqref="D10" xr:uid="{1BCA75A4-5B4B-4787-9F19-FA9814719478}"/>
    <dataValidation allowBlank="1" showInputMessage="1" showErrorMessage="1" prompt="The inflation rate is monitored by central banks. An average over fifty year period must be used here. The inflation rate is needed for calculating the real interest rate, which is used in discounting. For the calculation see the setup tab." sqref="D11" xr:uid="{80A26570-EA20-4BA2-8A1E-49AA2F03A4D5}"/>
    <dataValidation allowBlank="1" showInputMessage="1" showErrorMessage="1" prompt="This cost is for opening an account with a carbon registry. It is a one-off cost and with some carbon registries it is free of charge." sqref="D14" xr:uid="{CD18A1BD-2C70-437E-AF13-F4E2DBA179C5}"/>
    <dataValidation allowBlank="1" showInputMessage="1" showErrorMessage="1" prompt="This is the cost for selling each credit. It is charged by and paid to the carbon registry for each credit sold. " sqref="D15" xr:uid="{1A648CDB-CAE0-45D8-8559-235A1218CD03}"/>
    <dataValidation allowBlank="1" showInputMessage="1" showErrorMessage="1" prompt="This is the cost for converting unverified credits to verified credits. It is charged by and paid to the carbon registry per each inspection visit. " sqref="D16" xr:uid="{EC746C9B-C47B-4191-BF62-234CF3A0D470}"/>
    <dataValidation allowBlank="1" showInputMessage="1" showErrorMessage="1" prompt="This is the cost for converting unverified credits to verified credits. It is charged by and paid to the carbon registry for each credit sold above a certain minimum threshold. This cost does not apply to credits below the minimum threshold. " sqref="D17" xr:uid="{05C02376-EB15-4A79-B290-3EED9CA9E9AB}"/>
    <dataValidation allowBlank="1" showInputMessage="1" showErrorMessage="1" prompt="This is a levy for selling each credit. It is charged by and paid to the carbon registry for each credit sold. " sqref="D18" xr:uid="{F8D38246-D97F-4B54-80EC-2C8C87E83B51}"/>
    <dataValidation allowBlank="1" showInputMessage="1" showErrorMessage="1" prompt="This cost is for the application to validate and verify the credits.  It is charged by and paid to the validation and verification body per inspection visit. " sqref="D19" xr:uid="{861A50AF-B54C-4788-A5BD-B25FBB5093E3}"/>
    <dataValidation allowBlank="1" showInputMessage="1" showErrorMessage="1" prompt="This cost is for the statement of validation and verification of credits.  It is charged by and paid to the validation and verification body per inspection visit. " sqref="D20" xr:uid="{1191D953-133A-4841-8082-0654C4344091}"/>
    <dataValidation allowBlank="1" showInputMessage="1" showErrorMessage="1" prompt="This cost is for the travel costs and expenses incurred by the inspector for the validation and verification of credits. It is charged by and paid to the validation and verification body per inspection visit. " sqref="D21" xr:uid="{C14A28D2-1650-4460-8539-81D8355B73FE}"/>
    <dataValidation allowBlank="1" showInputMessage="1" showErrorMessage="1" prompt="Different carbon registries, or validation and verification bodies, may have different inspection cycles. Typically, after the initial validation and verification at year 0 there is one inspection every three or five years." sqref="D22" xr:uid="{4B777F27-1FD3-4BBF-A0F7-BE6FD4F94CB0}"/>
    <dataValidation allowBlank="1" showInputMessage="1" showErrorMessage="1" prompt="Typically, some credits may be allowed to be sold without incurring conversion costs. However, after certain minimum threshold conversion costs incur per credit. Different registries may have different minimum thresholds." sqref="D23" xr:uid="{6FF24B42-4B87-4475-8121-AB04FEDE6928}"/>
    <dataValidation allowBlank="1" showInputMessage="1" showErrorMessage="1" prompt="This is the interest rate for servicing the investment. " sqref="D27" xr:uid="{EC223A39-3F7C-4097-89EB-7C578ECC5B34}"/>
    <dataValidation allowBlank="1" showInputMessage="1" showErrorMessage="1" prompt="This is the period of years that the investment will need servicing for. It can be the same as the project duration or it can be a different period of years." sqref="D28" xr:uid="{16065FEE-3726-4997-9E51-1F3549C92C94}"/>
    <dataValidation allowBlank="1" showInputMessage="1" showErrorMessage="1" prompt="Servicing the investment may require payments every calendar month, quarter, or term each year. Whether these payments are monthly, quarterly, or termly affect the calculations." sqref="D29" xr:uid="{8EEC2E8A-EDCC-4677-9D1C-D78A5816463C}"/>
    <dataValidation allowBlank="1" showInputMessage="1" showErrorMessage="1" prompt="One credit is one tonne of carbon dioxide equivalent pollution removed from the atmosphere and stored in the peatland per hectare per year. " sqref="D5" xr:uid="{E86B595E-43E8-4B1E-870A-D6742C07D49C}"/>
    <dataValidation allowBlank="1" showInputMessage="1" showErrorMessage="1" prompt="The value of money reduces over time. The value of money is determined by the long-term nominal interest rate and the long-term inflation rate.  These rates are used in calculations for making comparable future and present values of money.  " sqref="D9" xr:uid="{95F1753F-C3AA-4AC6-BA54-41D1615E3BF3}"/>
    <dataValidation allowBlank="1" showInputMessage="1" showErrorMessage="1" prompt="Indicative inbuilt costs are from the Peatland Code but are subject to change and will differ from other carbon registries. Users can amend the costs here according to Peatland Code updates or according to other carbon registry requirements.  " sqref="D13" xr:uid="{2E83769C-CF47-4FCC-BB27-4B7E6D1784A0}"/>
    <dataValidation allowBlank="1" showInputMessage="1" showErrorMessage="1" prompt="A loan requires payments to pay back the loan and an investment requires a return over a period of years. Whether a loan or any other investment the same servicing arrangements are assumed here for simplicity and comparability. " sqref="D25" xr:uid="{0747D731-BF9A-48D6-AC80-F5BE8CE16180}"/>
    <dataValidation allowBlank="1" showInputMessage="1" showErrorMessage="1" prompt="The assumption of constant payments and interest rate is inbuilt in the PMT assumption and cannot be changed. However, the interest rate, the frequency of payments per year, and the period of years can be amended here. " sqref="D26" xr:uid="{FD552DBF-9D02-4246-977A-8094C2FCF22E}"/>
  </dataValidations>
  <hyperlinks>
    <hyperlink ref="E6" r:id="rId1" location="tab-6" xr:uid="{9CDC04E5-2D40-46CC-90C7-AC82BCF9AC0F}"/>
    <hyperlink ref="E7" r:id="rId2" xr:uid="{07BAFEF0-6676-420E-BA1D-48ED0267736B}"/>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iconSet" priority="3" id="{C2D642B6-FAD8-4887-AC87-0E8BD02342D0}">
            <x14:iconSet iconSet="3Symbols" custom="1">
              <x14:cfvo type="percent">
                <xm:f>0</xm:f>
              </x14:cfvo>
              <x14:cfvo type="num">
                <xm:f>0</xm:f>
              </x14:cfvo>
              <x14:cfvo type="percent" gte="0">
                <xm:f>67</xm:f>
              </x14:cfvo>
              <x14:cfIcon iconSet="NoIcons" iconId="0"/>
              <x14:cfIcon iconSet="3Symbols2" iconId="2"/>
              <x14:cfIcon iconSet="NoIcons" iconId="0"/>
            </x14:iconSet>
          </x14:cfRule>
          <x14:cfRule type="iconSet" priority="4" id="{486E02A8-725D-48CD-A72C-5D5C02C4B3D1}">
            <x14:iconSet iconSet="3Symbols" custom="1">
              <x14:cfvo type="percent">
                <xm:f>0</xm:f>
              </x14:cfvo>
              <x14:cfvo type="num">
                <xm:f>0</xm:f>
              </x14:cfvo>
              <x14:cfvo type="num" gte="0">
                <xm:f>0</xm:f>
              </x14:cfvo>
              <x14:cfIcon iconSet="NoIcons" iconId="0"/>
              <x14:cfIcon iconSet="3Symbols2" iconId="2"/>
              <x14:cfIcon iconSet="NoIcons" iconId="0"/>
            </x14:iconSet>
          </x14:cfRule>
          <xm:sqref>C5</xm:sqref>
        </x14:conditionalFormatting>
        <x14:conditionalFormatting xmlns:xm="http://schemas.microsoft.com/office/excel/2006/main">
          <x14:cfRule type="iconSet" priority="1" id="{F490FBE5-68AE-44FD-9F96-CEAA4B809FAF}">
            <x14:iconSet iconSet="3Symbols" custom="1">
              <x14:cfvo type="percent">
                <xm:f>0</xm:f>
              </x14:cfvo>
              <x14:cfvo type="num">
                <xm:f>0</xm:f>
              </x14:cfvo>
              <x14:cfvo type="percent" gte="0">
                <xm:f>67</xm:f>
              </x14:cfvo>
              <x14:cfIcon iconSet="NoIcons" iconId="0"/>
              <x14:cfIcon iconSet="3Symbols" iconId="1"/>
              <x14:cfIcon iconSet="NoIcons" iconId="0"/>
            </x14:iconSet>
          </x14:cfRule>
          <x14:cfRule type="iconSet" priority="2" id="{505B8ABD-A76F-459C-9FD4-9CB950631BAE}">
            <x14:iconSet iconSet="3Symbols" custom="1">
              <x14:cfvo type="percent">
                <xm:f>0</xm:f>
              </x14:cfvo>
              <x14:cfvo type="num">
                <xm:f>0</xm:f>
              </x14:cfvo>
              <x14:cfvo type="num" gte="0">
                <xm:f>0</xm:f>
              </x14:cfvo>
              <x14:cfIcon iconSet="NoIcons" iconId="0"/>
              <x14:cfIcon iconSet="3Symbols" iconId="1"/>
              <x14:cfIcon iconSet="NoIcons" iconId="0"/>
            </x14:iconSet>
          </x14:cfRule>
          <xm:sqref>D5</xm:sqref>
        </x14:conditionalFormatting>
        <x14:conditionalFormatting xmlns:xm="http://schemas.microsoft.com/office/excel/2006/main">
          <x14:cfRule type="iconSet" priority="8" id="{4DD5624E-AE4A-4801-BEFB-AA7770139EFB}">
            <x14:iconSet iconSet="3Symbols" custom="1">
              <x14:cfvo type="percent">
                <xm:f>0</xm:f>
              </x14:cfvo>
              <x14:cfvo type="num">
                <xm:f>0</xm:f>
              </x14:cfvo>
              <x14:cfvo type="percent" gte="0">
                <xm:f>67</xm:f>
              </x14:cfvo>
              <x14:cfIcon iconSet="NoIcons" iconId="0"/>
              <x14:cfIcon iconSet="3Symbols" iconId="1"/>
              <x14:cfIcon iconSet="NoIcons" iconId="0"/>
            </x14:iconSet>
          </x14:cfRule>
          <x14:cfRule type="iconSet" priority="9" id="{ED14F11D-5C4B-41DF-AB87-9B04E1C7DF38}">
            <x14:iconSet iconSet="3Symbols" custom="1">
              <x14:cfvo type="percent">
                <xm:f>0</xm:f>
              </x14:cfvo>
              <x14:cfvo type="num">
                <xm:f>0</xm:f>
              </x14:cfvo>
              <x14:cfvo type="num" gte="0">
                <xm:f>0</xm:f>
              </x14:cfvo>
              <x14:cfIcon iconSet="NoIcons" iconId="0"/>
              <x14:cfIcon iconSet="3Symbols" iconId="1"/>
              <x14:cfIcon iconSet="NoIcons" iconId="0"/>
            </x14:iconSet>
          </x14:cfRule>
          <xm:sqref>D6:D29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A4843-D9B9-490D-BA24-19320846CF43}">
  <dimension ref="C1:I72"/>
  <sheetViews>
    <sheetView zoomScaleNormal="100" workbookViewId="0">
      <pane ySplit="1" topLeftCell="A2" activePane="bottomLeft" state="frozen"/>
      <selection pane="bottomLeft" activeCell="B3" sqref="B3"/>
    </sheetView>
  </sheetViews>
  <sheetFormatPr defaultColWidth="8.734375" defaultRowHeight="14.4" x14ac:dyDescent="0.55000000000000004"/>
  <cols>
    <col min="1" max="2" width="8.734375" style="3"/>
    <col min="3" max="3" width="5.15625" style="3" customWidth="1"/>
    <col min="4" max="4" width="60.62890625" style="3" customWidth="1"/>
    <col min="5" max="8" width="12.62890625" style="3" customWidth="1"/>
    <col min="9" max="16384" width="8.734375" style="3"/>
  </cols>
  <sheetData>
    <row r="1" spans="3:8" ht="20.05" customHeight="1" x14ac:dyDescent="0.55000000000000004">
      <c r="D1" s="153" t="s">
        <v>81</v>
      </c>
      <c r="E1" s="153"/>
      <c r="F1" s="153"/>
      <c r="G1" s="153"/>
      <c r="H1" s="153"/>
    </row>
    <row r="3" spans="3:8" ht="14.7" thickBot="1" x14ac:dyDescent="0.6">
      <c r="C3" s="7"/>
      <c r="D3" s="82" t="s">
        <v>82</v>
      </c>
      <c r="E3" s="7"/>
      <c r="F3" s="7"/>
      <c r="G3" s="7"/>
      <c r="H3" s="7"/>
    </row>
    <row r="4" spans="3:8" ht="14.7" thickTop="1" x14ac:dyDescent="0.55000000000000004"/>
    <row r="5" spans="3:8" x14ac:dyDescent="0.55000000000000004">
      <c r="C5" s="5"/>
      <c r="D5" s="26" t="s">
        <v>26</v>
      </c>
      <c r="E5" s="5"/>
      <c r="F5" s="5"/>
      <c r="G5" s="5"/>
      <c r="H5" s="5"/>
    </row>
    <row r="6" spans="3:8" x14ac:dyDescent="0.55000000000000004">
      <c r="C6" s="102">
        <v>1</v>
      </c>
      <c r="D6" s="3" t="s">
        <v>22</v>
      </c>
      <c r="E6" s="23"/>
      <c r="F6" s="23"/>
      <c r="G6" s="23"/>
      <c r="H6" s="3">
        <f>Input!F17</f>
        <v>0</v>
      </c>
    </row>
    <row r="7" spans="3:8" x14ac:dyDescent="0.55000000000000004">
      <c r="C7" s="102">
        <v>1</v>
      </c>
      <c r="D7" s="3" t="s">
        <v>23</v>
      </c>
      <c r="E7" s="23"/>
      <c r="F7" s="23"/>
      <c r="G7" s="23"/>
      <c r="H7" s="3">
        <f>H6+H8</f>
        <v>-1</v>
      </c>
    </row>
    <row r="8" spans="3:8" x14ac:dyDescent="0.55000000000000004">
      <c r="C8" s="102">
        <v>1</v>
      </c>
      <c r="D8" s="3" t="s">
        <v>24</v>
      </c>
      <c r="E8" s="23"/>
      <c r="F8" s="23"/>
      <c r="G8" s="23"/>
      <c r="H8" s="3">
        <f>H12-1</f>
        <v>-1</v>
      </c>
    </row>
    <row r="9" spans="3:8" ht="14.7" thickBot="1" x14ac:dyDescent="0.6">
      <c r="C9" s="123">
        <v>1</v>
      </c>
      <c r="D9" s="6" t="s">
        <v>46</v>
      </c>
      <c r="E9" s="77"/>
      <c r="F9" s="77"/>
      <c r="G9" s="77"/>
      <c r="H9" s="42">
        <f>Assumptions!H10-Assumptions!H11</f>
        <v>2.4999999999999988E-3</v>
      </c>
    </row>
    <row r="10" spans="3:8" x14ac:dyDescent="0.55000000000000004">
      <c r="C10" s="102"/>
      <c r="E10" s="23"/>
      <c r="F10" s="23"/>
      <c r="G10" s="23"/>
    </row>
    <row r="11" spans="3:8" x14ac:dyDescent="0.55000000000000004">
      <c r="C11" s="124"/>
      <c r="D11" s="26" t="s">
        <v>116</v>
      </c>
      <c r="E11" s="78"/>
      <c r="F11" s="78"/>
      <c r="G11" s="78"/>
      <c r="H11" s="5"/>
    </row>
    <row r="12" spans="3:8" x14ac:dyDescent="0.55000000000000004">
      <c r="C12" s="102">
        <v>1</v>
      </c>
      <c r="D12" s="3" t="s">
        <v>25</v>
      </c>
      <c r="H12" s="3">
        <f>Input!F5</f>
        <v>0</v>
      </c>
    </row>
    <row r="13" spans="3:8" x14ac:dyDescent="0.55000000000000004">
      <c r="C13" s="102">
        <v>1</v>
      </c>
      <c r="D13" s="3" t="s">
        <v>5</v>
      </c>
      <c r="H13" s="3">
        <f>Input!F9</f>
        <v>0</v>
      </c>
    </row>
    <row r="14" spans="3:8" x14ac:dyDescent="0.55000000000000004">
      <c r="C14" s="102">
        <v>1</v>
      </c>
      <c r="D14" s="144" t="s">
        <v>136</v>
      </c>
      <c r="E14" s="90">
        <f>Input!F7</f>
        <v>0</v>
      </c>
    </row>
    <row r="15" spans="3:8" ht="14.7" thickBot="1" x14ac:dyDescent="0.6">
      <c r="C15" s="123">
        <v>1</v>
      </c>
      <c r="D15" s="145" t="s">
        <v>139</v>
      </c>
      <c r="E15" s="91">
        <f>Assumptions!G7</f>
        <v>0</v>
      </c>
      <c r="F15" s="6"/>
      <c r="G15" s="6"/>
      <c r="H15" s="146">
        <f>Assumptions!H7</f>
        <v>0</v>
      </c>
    </row>
    <row r="16" spans="3:8" x14ac:dyDescent="0.55000000000000004">
      <c r="C16" s="102"/>
      <c r="D16" s="142"/>
      <c r="E16" s="34"/>
      <c r="F16" s="23"/>
      <c r="G16" s="23"/>
    </row>
    <row r="17" spans="3:8" x14ac:dyDescent="0.55000000000000004">
      <c r="C17" s="124"/>
      <c r="D17" s="26" t="s">
        <v>41</v>
      </c>
      <c r="E17" s="5"/>
      <c r="F17" s="5"/>
      <c r="G17" s="5"/>
      <c r="H17" s="5"/>
    </row>
    <row r="18" spans="3:8" x14ac:dyDescent="0.55000000000000004">
      <c r="C18" s="102">
        <v>1</v>
      </c>
      <c r="D18" s="3" t="s">
        <v>137</v>
      </c>
      <c r="H18" s="3">
        <f>Assumptions!F7</f>
        <v>0</v>
      </c>
    </row>
    <row r="19" spans="3:8" x14ac:dyDescent="0.55000000000000004">
      <c r="C19" s="102">
        <v>1</v>
      </c>
      <c r="D19" s="3" t="s">
        <v>135</v>
      </c>
      <c r="H19" s="3">
        <f>Assumptions!H7</f>
        <v>0</v>
      </c>
    </row>
    <row r="20" spans="3:8" x14ac:dyDescent="0.55000000000000004">
      <c r="C20" s="102"/>
      <c r="D20" s="24"/>
      <c r="E20" s="84"/>
      <c r="F20" s="23"/>
      <c r="G20" s="23"/>
      <c r="H20" s="19"/>
    </row>
    <row r="21" spans="3:8" ht="14.7" thickBot="1" x14ac:dyDescent="0.6">
      <c r="C21" s="123">
        <v>1</v>
      </c>
      <c r="D21" s="6" t="s">
        <v>138</v>
      </c>
      <c r="E21" s="85"/>
      <c r="F21" s="77"/>
      <c r="G21" s="77"/>
      <c r="H21" s="75">
        <f>IF(H15=E14, (H12*H13*H18), (H12*H13*H19))</f>
        <v>0</v>
      </c>
    </row>
    <row r="22" spans="3:8" x14ac:dyDescent="0.55000000000000004">
      <c r="C22" s="102"/>
      <c r="E22" s="34"/>
      <c r="F22" s="23"/>
      <c r="G22" s="23"/>
    </row>
    <row r="23" spans="3:8" x14ac:dyDescent="0.55000000000000004">
      <c r="C23" s="124"/>
      <c r="D23" s="26" t="s">
        <v>107</v>
      </c>
      <c r="E23" s="86"/>
      <c r="F23" s="78"/>
      <c r="G23" s="78"/>
      <c r="H23" s="22"/>
    </row>
    <row r="24" spans="3:8" x14ac:dyDescent="0.55000000000000004">
      <c r="C24" s="102">
        <v>1</v>
      </c>
      <c r="D24" s="3" t="s">
        <v>140</v>
      </c>
      <c r="E24" s="87"/>
      <c r="F24" s="23"/>
      <c r="G24" s="23"/>
      <c r="H24" s="112">
        <f>IF(H21=0, 0, H21*$H$56)</f>
        <v>0</v>
      </c>
    </row>
    <row r="25" spans="3:8" ht="14.7" thickBot="1" x14ac:dyDescent="0.6">
      <c r="C25" s="123">
        <v>1</v>
      </c>
      <c r="D25" s="6" t="s">
        <v>90</v>
      </c>
      <c r="E25" s="88"/>
      <c r="F25" s="77"/>
      <c r="G25" s="77"/>
      <c r="H25" s="111">
        <f>IF(H21=0, 0,IF($H$57=0, H21*$H$56, H21*$H$57))</f>
        <v>0</v>
      </c>
    </row>
    <row r="26" spans="3:8" x14ac:dyDescent="0.55000000000000004">
      <c r="C26" s="102"/>
      <c r="D26" s="24"/>
      <c r="E26" s="23"/>
      <c r="F26" s="23"/>
      <c r="G26" s="23"/>
    </row>
    <row r="27" spans="3:8" x14ac:dyDescent="0.55000000000000004">
      <c r="C27" s="124"/>
      <c r="D27" s="26" t="s">
        <v>17</v>
      </c>
      <c r="E27" s="78"/>
      <c r="F27" s="78"/>
      <c r="G27" s="78"/>
      <c r="H27" s="5"/>
    </row>
    <row r="28" spans="3:8" x14ac:dyDescent="0.55000000000000004">
      <c r="C28" s="102">
        <v>1</v>
      </c>
      <c r="D28" s="3" t="s">
        <v>6</v>
      </c>
      <c r="E28" s="23"/>
      <c r="F28" s="23"/>
      <c r="G28" s="23"/>
      <c r="H28" s="15">
        <f>Input!F11</f>
        <v>0</v>
      </c>
    </row>
    <row r="29" spans="3:8" x14ac:dyDescent="0.55000000000000004">
      <c r="C29" s="102">
        <v>1</v>
      </c>
      <c r="D29" s="3" t="s">
        <v>43</v>
      </c>
      <c r="E29" s="23"/>
      <c r="F29" s="23"/>
      <c r="G29" s="23"/>
      <c r="H29" s="15">
        <f>IF(H28=0, 0, PMT(Assumptions!H27/Assumptions!H29,Assumptions!H28*Assumptions!H29,H28))</f>
        <v>0</v>
      </c>
    </row>
    <row r="30" spans="3:8" x14ac:dyDescent="0.55000000000000004">
      <c r="C30" s="102">
        <v>1</v>
      </c>
      <c r="D30" s="3" t="s">
        <v>44</v>
      </c>
      <c r="E30" s="23"/>
      <c r="F30" s="79"/>
      <c r="G30" s="23"/>
      <c r="H30" s="15">
        <f>(-1)*H29</f>
        <v>0</v>
      </c>
    </row>
    <row r="31" spans="3:8" ht="14.7" thickBot="1" x14ac:dyDescent="0.6">
      <c r="C31" s="123">
        <v>1</v>
      </c>
      <c r="D31" s="6" t="s">
        <v>7</v>
      </c>
      <c r="E31" s="77"/>
      <c r="F31" s="77"/>
      <c r="G31" s="77"/>
      <c r="H31" s="17">
        <f>H30*Assumptions!H29</f>
        <v>0</v>
      </c>
    </row>
    <row r="32" spans="3:8" x14ac:dyDescent="0.55000000000000004">
      <c r="C32" s="102"/>
      <c r="E32" s="23"/>
      <c r="F32" s="23"/>
      <c r="G32" s="23"/>
    </row>
    <row r="33" spans="3:8" x14ac:dyDescent="0.55000000000000004">
      <c r="C33" s="102"/>
      <c r="E33" s="23"/>
      <c r="F33" s="23"/>
      <c r="G33" s="23"/>
    </row>
    <row r="34" spans="3:8" x14ac:dyDescent="0.55000000000000004">
      <c r="C34" s="124"/>
      <c r="D34" s="26" t="s">
        <v>80</v>
      </c>
      <c r="E34" s="78"/>
      <c r="F34" s="78"/>
      <c r="G34" s="78"/>
      <c r="H34" s="5"/>
    </row>
    <row r="35" spans="3:8" x14ac:dyDescent="0.55000000000000004">
      <c r="C35" s="102">
        <v>1</v>
      </c>
      <c r="D35" s="3" t="s">
        <v>45</v>
      </c>
      <c r="H35" s="4">
        <f>Assumptions!H22</f>
        <v>5</v>
      </c>
    </row>
    <row r="36" spans="3:8" x14ac:dyDescent="0.55000000000000004">
      <c r="C36" s="124">
        <v>1</v>
      </c>
      <c r="D36" s="5" t="s">
        <v>37</v>
      </c>
      <c r="E36" s="5"/>
      <c r="F36" s="5"/>
      <c r="G36" s="5"/>
      <c r="H36" s="147">
        <f>Assumptions!H23</f>
        <v>2000</v>
      </c>
    </row>
    <row r="37" spans="3:8" x14ac:dyDescent="0.55000000000000004">
      <c r="C37" s="124"/>
      <c r="D37" s="33"/>
      <c r="E37" s="74" t="s">
        <v>16</v>
      </c>
      <c r="F37" s="74" t="s">
        <v>18</v>
      </c>
      <c r="G37" s="33"/>
      <c r="H37" s="74" t="s">
        <v>19</v>
      </c>
    </row>
    <row r="38" spans="3:8" x14ac:dyDescent="0.55000000000000004">
      <c r="C38" s="102">
        <v>1</v>
      </c>
      <c r="D38" s="3" t="s">
        <v>36</v>
      </c>
      <c r="E38" s="54">
        <f>Assumptions!H14</f>
        <v>0</v>
      </c>
      <c r="F38" s="19">
        <v>1</v>
      </c>
      <c r="H38" s="54">
        <f>E38*F38</f>
        <v>0</v>
      </c>
    </row>
    <row r="39" spans="3:8" x14ac:dyDescent="0.55000000000000004">
      <c r="C39" s="102">
        <v>1</v>
      </c>
      <c r="D39" s="3" t="s">
        <v>105</v>
      </c>
      <c r="E39" s="14">
        <f>Assumptions!H15</f>
        <v>0.05</v>
      </c>
      <c r="F39" s="54">
        <f>H21</f>
        <v>0</v>
      </c>
      <c r="H39" s="54">
        <f t="shared" ref="H39:H45" si="0">E39*F39</f>
        <v>0</v>
      </c>
    </row>
    <row r="40" spans="3:8" x14ac:dyDescent="0.55000000000000004">
      <c r="C40" s="102">
        <v>1</v>
      </c>
      <c r="D40" s="3" t="s">
        <v>34</v>
      </c>
      <c r="E40" s="54">
        <f>Assumptions!H16</f>
        <v>100</v>
      </c>
      <c r="F40" s="19">
        <f>IF($H$12&lt;=10,2,$H$12/$H$35)</f>
        <v>2</v>
      </c>
      <c r="H40" s="54">
        <f t="shared" si="0"/>
        <v>200</v>
      </c>
    </row>
    <row r="41" spans="3:8" x14ac:dyDescent="0.55000000000000004">
      <c r="C41" s="102">
        <v>1</v>
      </c>
      <c r="D41" s="3" t="s">
        <v>109</v>
      </c>
      <c r="E41" s="14">
        <f>Assumptions!H17</f>
        <v>0.05</v>
      </c>
      <c r="F41" s="54">
        <f>IF(H21&gt;H36, H21-H36, 0)</f>
        <v>0</v>
      </c>
      <c r="H41" s="54">
        <f t="shared" si="0"/>
        <v>0</v>
      </c>
    </row>
    <row r="42" spans="3:8" x14ac:dyDescent="0.55000000000000004">
      <c r="C42" s="102">
        <v>1</v>
      </c>
      <c r="D42" s="3" t="s">
        <v>106</v>
      </c>
      <c r="E42" s="14">
        <f>Assumptions!H18</f>
        <v>0.05</v>
      </c>
      <c r="F42" s="54">
        <f>H21</f>
        <v>0</v>
      </c>
      <c r="H42" s="54">
        <f t="shared" si="0"/>
        <v>0</v>
      </c>
    </row>
    <row r="43" spans="3:8" x14ac:dyDescent="0.55000000000000004">
      <c r="C43" s="102">
        <v>1</v>
      </c>
      <c r="D43" s="3" t="s">
        <v>91</v>
      </c>
      <c r="E43" s="54">
        <f>Assumptions!H19</f>
        <v>600</v>
      </c>
      <c r="F43" s="19">
        <f>IF($H$12&lt;=10,2,$H$12/$H$35)</f>
        <v>2</v>
      </c>
      <c r="H43" s="54">
        <f t="shared" si="0"/>
        <v>1200</v>
      </c>
    </row>
    <row r="44" spans="3:8" x14ac:dyDescent="0.55000000000000004">
      <c r="C44" s="102">
        <v>1</v>
      </c>
      <c r="D44" s="3" t="s">
        <v>92</v>
      </c>
      <c r="E44" s="54">
        <f>Assumptions!H20</f>
        <v>800</v>
      </c>
      <c r="F44" s="19">
        <f>IF($H$12&lt;=10,2,$H$12/$H$35)</f>
        <v>2</v>
      </c>
      <c r="H44" s="54">
        <f t="shared" si="0"/>
        <v>1600</v>
      </c>
    </row>
    <row r="45" spans="3:8" ht="14.7" thickBot="1" x14ac:dyDescent="0.6">
      <c r="C45" s="123">
        <v>1</v>
      </c>
      <c r="D45" s="6" t="s">
        <v>93</v>
      </c>
      <c r="E45" s="75">
        <f>Assumptions!H21</f>
        <v>500</v>
      </c>
      <c r="F45" s="146">
        <f>IF($H$12&lt;=10,2,$H$12/$H$35)</f>
        <v>2</v>
      </c>
      <c r="G45" s="6"/>
      <c r="H45" s="75">
        <f t="shared" si="0"/>
        <v>1000</v>
      </c>
    </row>
    <row r="46" spans="3:8" x14ac:dyDescent="0.55000000000000004">
      <c r="C46" s="102"/>
      <c r="E46" s="80"/>
      <c r="F46" s="81"/>
      <c r="G46" s="23"/>
      <c r="H46" s="4"/>
    </row>
    <row r="47" spans="3:8" x14ac:dyDescent="0.55000000000000004">
      <c r="C47" s="124"/>
      <c r="D47" s="26" t="s">
        <v>78</v>
      </c>
      <c r="E47" s="89" t="s">
        <v>56</v>
      </c>
      <c r="F47" s="89" t="s">
        <v>57</v>
      </c>
      <c r="G47" s="78"/>
      <c r="H47" s="5"/>
    </row>
    <row r="48" spans="3:8" x14ac:dyDescent="0.55000000000000004">
      <c r="C48" s="102">
        <v>1</v>
      </c>
      <c r="D48" s="3" t="s">
        <v>31</v>
      </c>
      <c r="E48" s="90" t="s">
        <v>54</v>
      </c>
      <c r="F48" s="90" t="s">
        <v>54</v>
      </c>
      <c r="G48" s="23"/>
      <c r="H48" s="19">
        <f>Input!F13</f>
        <v>0</v>
      </c>
    </row>
    <row r="49" spans="3:9" ht="14.7" thickBot="1" x14ac:dyDescent="0.6">
      <c r="C49" s="123">
        <v>1</v>
      </c>
      <c r="D49" s="6" t="s">
        <v>108</v>
      </c>
      <c r="E49" s="91" t="s">
        <v>55</v>
      </c>
      <c r="F49" s="91" t="s">
        <v>55</v>
      </c>
      <c r="G49" s="77"/>
      <c r="H49" s="146">
        <f>Input!F15</f>
        <v>0</v>
      </c>
    </row>
    <row r="50" spans="3:9" x14ac:dyDescent="0.55000000000000004">
      <c r="C50" s="102"/>
      <c r="E50" s="37"/>
      <c r="F50" s="37"/>
      <c r="H50" s="40"/>
    </row>
    <row r="51" spans="3:9" x14ac:dyDescent="0.55000000000000004">
      <c r="C51" s="124"/>
      <c r="D51" s="26" t="s">
        <v>79</v>
      </c>
      <c r="E51" s="5"/>
      <c r="F51" s="5"/>
      <c r="G51" s="5"/>
      <c r="H51" s="5"/>
    </row>
    <row r="52" spans="3:9" x14ac:dyDescent="0.55000000000000004">
      <c r="C52" s="102">
        <v>1</v>
      </c>
      <c r="D52" s="3" t="s">
        <v>86</v>
      </c>
      <c r="H52" s="15">
        <f>IF(H49=F48, H31*H12, 0)</f>
        <v>0</v>
      </c>
    </row>
    <row r="53" spans="3:9" x14ac:dyDescent="0.55000000000000004">
      <c r="C53" s="102">
        <v>1</v>
      </c>
      <c r="D53" s="3" t="s">
        <v>35</v>
      </c>
      <c r="H53" s="15">
        <f>IF(H48=E48, SUM(H38:H45), 0)</f>
        <v>0</v>
      </c>
    </row>
    <row r="54" spans="3:9" ht="14.7" thickBot="1" x14ac:dyDescent="0.6">
      <c r="C54" s="123">
        <v>1</v>
      </c>
      <c r="D54" s="6" t="s">
        <v>94</v>
      </c>
      <c r="E54" s="6"/>
      <c r="F54" s="6"/>
      <c r="G54" s="6"/>
      <c r="H54" s="17">
        <f>SUM(H52:H53)</f>
        <v>0</v>
      </c>
    </row>
    <row r="55" spans="3:9" x14ac:dyDescent="0.55000000000000004">
      <c r="C55" s="102"/>
      <c r="E55" s="50"/>
      <c r="F55" s="24"/>
      <c r="H55" s="4"/>
    </row>
    <row r="56" spans="3:9" ht="14.7" thickBot="1" x14ac:dyDescent="0.6">
      <c r="C56" s="123">
        <v>1</v>
      </c>
      <c r="D56" s="27" t="s">
        <v>141</v>
      </c>
      <c r="E56" s="6"/>
      <c r="F56" s="152"/>
      <c r="G56" s="152"/>
      <c r="H56" s="76">
        <f>IF(H28=0, 0, IF(H54=0,(H28/H21),(H54+H28)/H21))</f>
        <v>0</v>
      </c>
      <c r="I56" s="110"/>
    </row>
    <row r="57" spans="3:9" ht="14.7" thickBot="1" x14ac:dyDescent="0.6">
      <c r="C57" s="123">
        <v>1</v>
      </c>
      <c r="D57" s="27" t="s">
        <v>32</v>
      </c>
      <c r="E57" s="6"/>
      <c r="F57" s="28"/>
      <c r="G57" s="28"/>
      <c r="H57" s="76">
        <f>Input!K9</f>
        <v>0</v>
      </c>
    </row>
    <row r="58" spans="3:9" ht="14.7" thickBot="1" x14ac:dyDescent="0.6">
      <c r="C58" s="7"/>
      <c r="D58" s="7"/>
      <c r="E58" s="7"/>
      <c r="F58" s="32"/>
      <c r="G58" s="32"/>
      <c r="H58" s="7"/>
    </row>
    <row r="59" spans="3:9" ht="14.7" thickTop="1" x14ac:dyDescent="0.55000000000000004">
      <c r="F59" s="37"/>
      <c r="G59" s="37"/>
    </row>
    <row r="71" spans="7:8" x14ac:dyDescent="0.55000000000000004">
      <c r="G71" s="4"/>
      <c r="H71" s="4"/>
    </row>
    <row r="72" spans="7:8" x14ac:dyDescent="0.55000000000000004">
      <c r="G72" s="4"/>
      <c r="H72" s="4"/>
    </row>
  </sheetData>
  <mergeCells count="2">
    <mergeCell ref="F56:G56"/>
    <mergeCell ref="D1:H1"/>
  </mergeCells>
  <dataValidations count="21">
    <dataValidation allowBlank="1" showInputMessage="1" showErrorMessage="1" prompt="This line reads the relevant cell from the input tab." sqref="C6 C12:C14 C48:C49 C28" xr:uid="{3C8F9D0E-2C6A-4EFA-A44C-EFB52F9AEE79}"/>
    <dataValidation allowBlank="1" showInputMessage="1" showErrorMessage="1" prompt="This line calculates the calendar year the project ends. It is the calendar year the project starts plus the final investment year as exponent." sqref="C7" xr:uid="{46CF82EF-9E05-4F99-A2DB-84C279AF7BE0}"/>
    <dataValidation allowBlank="1" showInputMessage="1" showErrorMessage="1" prompt="This line calculates the exponent used in the discounting equation. The exponent is the project period of years minus one. " sqref="C8" xr:uid="{34F5F9E7-55AD-4EAD-A4C6-66226F7D7AA3}"/>
    <dataValidation allowBlank="1" showInputMessage="1" showErrorMessage="1" prompt="This line calculates the real interest rate, which is used for discounting. The real interest rate is the nominal interest rate minus the inflation rate.  " sqref="C9" xr:uid="{EFFE2C7E-81AA-4A87-89C8-9F8F641E2E17}"/>
    <dataValidation allowBlank="1" showInputMessage="1" showErrorMessage="1" prompt="This line calculates the total number of credits generated and available for sale during restoration. The calculation multiplies the number of years, by hectares restored, and by number of credits per hectare per year. " sqref="C21" xr:uid="{424E41B6-62E5-489A-9121-1A700B50F8D7}"/>
    <dataValidation allowBlank="1" showInputMessage="1" showErrorMessage="1" prompt="This line reads the relevant cell from the assumptions tab." sqref="C18:C19 C35:C36" xr:uid="{8CA78140-A179-445E-87CF-0DA7771BC762}"/>
    <dataValidation allowBlank="1" showInputMessage="1" showErrorMessage="1" prompt="This line calculates the value of investment at the start of the project. The calculation multiplies the number of credits generated by the cost of generating each credit at the start of the project i.e. year zero." sqref="C24" xr:uid="{164FFFC9-3465-4C88-AB7F-63A2D8AF3B7D}"/>
    <dataValidation allowBlank="1" showInputMessage="1" showErrorMessage="1" prompt="This line calculates the value of investment at the end of project. The calculation multiplies the number of credits generated by the price at which each credit would be sold from the start to the end year of the project. " sqref="C25" xr:uid="{8F8B411A-E457-4C7F-B36D-A3705A2FD051}"/>
    <dataValidation allowBlank="1" showInputMessage="1" showErrorMessage="1" prompt="This line calculates each payment for servicing the investment. The calculation uses the PMT formula and combines the interest rate, the number of years, and the number of payments per year for servicing the investment. " sqref="C29" xr:uid="{077D441A-7167-455F-8BDD-EDF7B7806041}"/>
    <dataValidation allowBlank="1" showInputMessage="1" showErrorMessage="1" prompt="This line removes the minus symbol from the outcome of the PMT formula in previous line i.e. value of each payment. Removing the minus symbol is needed to prevent the sum function becoming a subtraction function in subsequent calculations. " sqref="C30" xr:uid="{04E79AD2-A0E0-425D-89A4-9643899410CE}"/>
    <dataValidation allowBlank="1" showInputMessage="1" showErrorMessage="1" prompt="This line calculates the yearly cost of servicing the investment.  The calculation multiplies the amount of each payment by the number of payments per year. " sqref="C31" xr:uid="{2E12EA87-2EE1-4FA0-B65C-1871E1C42B2F}"/>
    <dataValidation allowBlank="1" showInputMessage="1" showErrorMessage="1" prompt="This line calculates the cost item. The calculation multiplies the cost by the number of times it is paid. This cost is paid per inspection visit. If the project duration is less than ten years two inspection visits are included as default. " sqref="C40 C43:C45" xr:uid="{115703B4-ADD8-4E11-AA87-DC7D56BDE1AD}"/>
    <dataValidation allowBlank="1" showInputMessage="1" showErrorMessage="1" prompt="This line calculates the cost item. The calculation multiplies the cost by the number of times it is paid. The account opening fee is one-off and may be free of charge. " sqref="C38" xr:uid="{4AA5EE39-973C-42FE-ADE6-7F553A01C020}"/>
    <dataValidation allowBlank="1" showInputMessage="1" showErrorMessage="1" prompt="This line calculates the cost item. The calculation multiplies the cost by the number of times it is paid. This cost is paid per each credit sold.  " sqref="C39 C42" xr:uid="{C0B61C02-8D08-47F9-A07D-5F9BB063D18B}"/>
    <dataValidation allowBlank="1" showInputMessage="1" showErrorMessage="1" prompt="This line calculates the cost item. The calculation multiplies the cost by the number of times it is paid. This cost is paid per each credit sold above a certain minimum threshold. The cost does not apply for credits below the minimum threshold." sqref="C41" xr:uid="{5A80862A-0EE6-4BF1-8262-9AAD2CDE538F}"/>
    <dataValidation allowBlank="1" showInputMessage="1" showErrorMessage="1" prompt="This line calculates the total investment costs for the duration of the project. The calculation multiplies the annual carbon investment costs by the number of years of the project. " sqref="C52" xr:uid="{FE9D02FB-FE49-4FEF-A057-7FCABC071D0E}"/>
    <dataValidation allowBlank="1" showInputMessage="1" showErrorMessage="1" prompt="This line calculates the total registry costs for the duration of the project. The calculation sums individual cost items over the years of the project. " sqref="C53" xr:uid="{88548339-C2E1-4780-B926-E3B8D4963D71}"/>
    <dataValidation allowBlank="1" showInputMessage="1" showErrorMessage="1" prompt="This line calculates the total project costs. The calculation sums carbon investment costs and carbon registry costs over the project period. " sqref="C54" xr:uid="{5DFE3992-0AF9-4B81-8873-5F521B08AA8D}"/>
    <dataValidation allowBlank="1" showInputMessage="1" showErrorMessage="1" prompt="This line reads the relevant cell from the input tab. This price, at which the seller would be selling each credit for, determines the ending value of the investment and the consequent profitability indicators." sqref="C57" xr:uid="{50972BC5-BD94-406C-A890-397AD2E7F5D5}"/>
    <dataValidation allowBlank="1" showInputMessage="1" showErrorMessage="1" prompt="This line calculates the cost of generating each credit at the start of the project i.e. year zero. The calculation divides the total project costs by the total number of carbon credits generated of the duration of the project. " sqref="C56" xr:uid="{B372BDE2-3EAB-4BB2-848D-354D418E5F44}"/>
    <dataValidation allowBlank="1" showInputMessage="1" showErrorMessage="1" prompt="This line reads the relevant cells from the assumptions tab. " sqref="C15" xr:uid="{F4108E8E-1EB3-45DF-A34E-E7DCAAED2892}"/>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1" id="{39969475-31D0-4EDD-9346-B01A7989B8BA}">
            <x14:iconSet iconSet="3Symbols" custom="1">
              <x14:cfvo type="percent">
                <xm:f>0</xm:f>
              </x14:cfvo>
              <x14:cfvo type="num">
                <xm:f>1</xm:f>
              </x14:cfvo>
              <x14:cfvo type="num" gte="0">
                <xm:f>2</xm:f>
              </x14:cfvo>
              <x14:cfIcon iconSet="NoIcons" iconId="0"/>
              <x14:cfIcon iconSet="3Symbols" iconId="1"/>
              <x14:cfIcon iconSet="NoIcons" iconId="0"/>
            </x14:iconSet>
          </x14:cfRule>
          <xm:sqref>C6:C57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18F6D-F17A-4CCD-A83B-BBA3114AA921}">
  <dimension ref="C1:M26"/>
  <sheetViews>
    <sheetView zoomScaleNormal="100" workbookViewId="0">
      <pane ySplit="1" topLeftCell="A2" activePane="bottomLeft" state="frozen"/>
      <selection pane="bottomLeft" activeCell="B5" sqref="B5"/>
    </sheetView>
  </sheetViews>
  <sheetFormatPr defaultColWidth="8.734375" defaultRowHeight="14.4" x14ac:dyDescent="0.55000000000000004"/>
  <cols>
    <col min="1" max="2" width="8.734375" style="1"/>
    <col min="3" max="3" width="5.15625" style="1" customWidth="1"/>
    <col min="4" max="4" width="39.15625" style="3" customWidth="1"/>
    <col min="5" max="5" width="15.62890625" style="1" customWidth="1"/>
    <col min="6" max="6" width="15.62890625" style="95" customWidth="1"/>
    <col min="7" max="7" width="5.15625" style="95" customWidth="1"/>
    <col min="8" max="8" width="40.89453125" style="1" customWidth="1"/>
    <col min="9" max="9" width="15.62890625" style="1" customWidth="1"/>
    <col min="10" max="10" width="15.62890625" style="95" customWidth="1"/>
    <col min="11" max="11" width="16.15625" style="110" customWidth="1"/>
    <col min="12" max="12" width="12.62890625" style="110" customWidth="1"/>
    <col min="13" max="13" width="16.15625" style="110" customWidth="1"/>
    <col min="14" max="15" width="16.15625" style="1" customWidth="1"/>
    <col min="16" max="16384" width="8.734375" style="1"/>
  </cols>
  <sheetData>
    <row r="1" spans="3:11" ht="20.05" customHeight="1" x14ac:dyDescent="0.55000000000000004">
      <c r="D1" s="153" t="s">
        <v>81</v>
      </c>
      <c r="E1" s="153"/>
      <c r="F1" s="153"/>
      <c r="G1" s="153"/>
      <c r="H1" s="153"/>
      <c r="I1" s="153"/>
    </row>
    <row r="2" spans="3:11" ht="14.5" customHeight="1" x14ac:dyDescent="0.55000000000000004">
      <c r="D2" s="83"/>
      <c r="E2" s="83"/>
      <c r="F2" s="115"/>
      <c r="G2" s="115"/>
      <c r="H2" s="83"/>
      <c r="I2" s="83"/>
    </row>
    <row r="3" spans="3:11" ht="14.7" thickBot="1" x14ac:dyDescent="0.6">
      <c r="C3" s="11"/>
      <c r="D3" s="8" t="s">
        <v>84</v>
      </c>
      <c r="E3" s="11"/>
      <c r="G3" s="129"/>
      <c r="H3" s="8" t="s">
        <v>87</v>
      </c>
      <c r="I3" s="7"/>
      <c r="J3" s="154"/>
      <c r="K3" s="154"/>
    </row>
    <row r="4" spans="3:11" ht="14.7" thickTop="1" x14ac:dyDescent="0.55000000000000004">
      <c r="H4" s="3"/>
      <c r="K4" s="116"/>
    </row>
    <row r="5" spans="3:11" x14ac:dyDescent="0.55000000000000004">
      <c r="C5" s="2"/>
      <c r="D5" s="26" t="s">
        <v>85</v>
      </c>
      <c r="E5" s="2"/>
      <c r="G5" s="124"/>
      <c r="H5" s="26" t="s">
        <v>110</v>
      </c>
      <c r="I5" s="2"/>
      <c r="K5" s="117"/>
    </row>
    <row r="6" spans="3:11" x14ac:dyDescent="0.55000000000000004">
      <c r="C6" s="2"/>
      <c r="D6" s="5"/>
      <c r="E6" s="22" t="s">
        <v>83</v>
      </c>
      <c r="F6" s="55" t="s">
        <v>9</v>
      </c>
      <c r="G6" s="124"/>
      <c r="H6" s="5"/>
      <c r="I6" s="22"/>
      <c r="J6" s="55" t="s">
        <v>9</v>
      </c>
      <c r="K6" s="125"/>
    </row>
    <row r="7" spans="3:11" x14ac:dyDescent="0.55000000000000004">
      <c r="C7" s="115">
        <v>1</v>
      </c>
      <c r="D7" s="3" t="s">
        <v>12</v>
      </c>
      <c r="E7" s="3">
        <f>Setup!H13</f>
        <v>0</v>
      </c>
      <c r="G7" s="115">
        <v>1</v>
      </c>
      <c r="H7" s="3" t="s">
        <v>10</v>
      </c>
      <c r="I7" s="9">
        <f>I16</f>
        <v>0</v>
      </c>
      <c r="J7" s="94">
        <f>J16</f>
        <v>0</v>
      </c>
      <c r="K7" s="116"/>
    </row>
    <row r="8" spans="3:11" x14ac:dyDescent="0.55000000000000004">
      <c r="C8" s="130">
        <v>1</v>
      </c>
      <c r="D8" s="5" t="s">
        <v>143</v>
      </c>
      <c r="E8" s="147">
        <f>Setup!H21</f>
        <v>0</v>
      </c>
      <c r="F8" s="93">
        <f>Setup!E21</f>
        <v>0</v>
      </c>
      <c r="G8" s="115">
        <v>1</v>
      </c>
      <c r="H8" s="3" t="s">
        <v>144</v>
      </c>
      <c r="I8" s="54">
        <f>E8</f>
        <v>0</v>
      </c>
      <c r="J8" s="97">
        <f>F8</f>
        <v>0</v>
      </c>
      <c r="K8" s="116"/>
    </row>
    <row r="9" spans="3:11" x14ac:dyDescent="0.55000000000000004">
      <c r="C9" s="122"/>
      <c r="D9" s="5"/>
      <c r="E9" s="22" t="s">
        <v>142</v>
      </c>
      <c r="F9" s="55"/>
      <c r="G9" s="115">
        <v>1</v>
      </c>
      <c r="H9" s="3" t="s">
        <v>11</v>
      </c>
      <c r="I9" s="19">
        <f>E7</f>
        <v>0</v>
      </c>
      <c r="J9" s="55">
        <f>E7</f>
        <v>0</v>
      </c>
      <c r="K9" s="126"/>
    </row>
    <row r="10" spans="3:11" x14ac:dyDescent="0.55000000000000004">
      <c r="C10" s="115">
        <v>1</v>
      </c>
      <c r="D10" s="3" t="s">
        <v>13</v>
      </c>
      <c r="E10" s="9">
        <f>Setup!H24</f>
        <v>0</v>
      </c>
      <c r="F10" s="94">
        <f>Setup!E24</f>
        <v>0</v>
      </c>
      <c r="G10" s="130">
        <v>1</v>
      </c>
      <c r="H10" s="5" t="s">
        <v>8</v>
      </c>
      <c r="I10" s="22">
        <f>Setup!H12</f>
        <v>0</v>
      </c>
      <c r="J10" s="55">
        <f>Setup!H12</f>
        <v>0</v>
      </c>
      <c r="K10" s="126"/>
    </row>
    <row r="11" spans="3:11" x14ac:dyDescent="0.55000000000000004">
      <c r="C11" s="115">
        <v>1</v>
      </c>
      <c r="D11" s="3" t="s">
        <v>14</v>
      </c>
      <c r="E11" s="9">
        <f>Setup!H25</f>
        <v>0</v>
      </c>
      <c r="F11" s="94">
        <f>Setup!E25</f>
        <v>0</v>
      </c>
      <c r="G11" s="115">
        <v>1</v>
      </c>
      <c r="H11" s="3" t="s">
        <v>145</v>
      </c>
      <c r="I11" s="29">
        <f>IF(I8=0, 0, I7/I8)</f>
        <v>0</v>
      </c>
      <c r="J11" s="98">
        <f>IF(J8=0, 0, J7/J8)</f>
        <v>0</v>
      </c>
    </row>
    <row r="12" spans="3:11" x14ac:dyDescent="0.55000000000000004">
      <c r="C12" s="115">
        <v>1</v>
      </c>
      <c r="D12" s="3" t="s">
        <v>15</v>
      </c>
      <c r="E12" s="9">
        <f>E11/((1+$E$14)^$E$13)</f>
        <v>0</v>
      </c>
      <c r="F12" s="94">
        <f>F11/((1+$E$14)^$E$13)</f>
        <v>0</v>
      </c>
      <c r="G12" s="130">
        <v>1</v>
      </c>
      <c r="H12" s="5" t="s">
        <v>146</v>
      </c>
      <c r="I12" s="30">
        <f>IF(I9=0, 0, ((I7/I9)/I10))</f>
        <v>0</v>
      </c>
      <c r="J12" s="98">
        <f>IF(J9=0, 0, ((J7/J9)/J10))</f>
        <v>0</v>
      </c>
    </row>
    <row r="13" spans="3:11" x14ac:dyDescent="0.55000000000000004">
      <c r="C13" s="115">
        <v>1</v>
      </c>
      <c r="D13" s="3" t="s">
        <v>39</v>
      </c>
      <c r="E13" s="19">
        <f>Setup!H8</f>
        <v>-1</v>
      </c>
      <c r="F13" s="55">
        <f>Setup!H8</f>
        <v>-1</v>
      </c>
      <c r="G13" s="115">
        <v>1</v>
      </c>
      <c r="H13" s="3" t="s">
        <v>147</v>
      </c>
      <c r="I13" s="31">
        <f>IF(E12=0, 0, (((E12-E10)/E10)*100))</f>
        <v>0</v>
      </c>
      <c r="J13" s="99">
        <f>IF(F12=0, 0, (((F12-F10)/F10)*100))</f>
        <v>0</v>
      </c>
      <c r="K13" s="118"/>
    </row>
    <row r="14" spans="3:11" x14ac:dyDescent="0.55000000000000004">
      <c r="C14" s="115">
        <v>1</v>
      </c>
      <c r="D14" s="3" t="s">
        <v>47</v>
      </c>
      <c r="E14" s="41">
        <f>Setup!H9</f>
        <v>2.4999999999999988E-3</v>
      </c>
      <c r="G14" s="115">
        <v>1</v>
      </c>
      <c r="H14" s="3" t="s">
        <v>161</v>
      </c>
      <c r="I14" s="14">
        <f>IF(E10=0, 0, (((E11/E10)^(E15)-1)*100))</f>
        <v>0</v>
      </c>
      <c r="J14" s="100">
        <f>IF(F10=0, 0, (((F11/F10)^(F15)-1)*100))</f>
        <v>0</v>
      </c>
      <c r="K14" s="127"/>
    </row>
    <row r="15" spans="3:11" x14ac:dyDescent="0.55000000000000004">
      <c r="C15" s="115">
        <v>1</v>
      </c>
      <c r="D15" s="3" t="s">
        <v>40</v>
      </c>
      <c r="E15" s="39">
        <f>IF(E13=0, 1, 1/E13)</f>
        <v>-1</v>
      </c>
      <c r="F15" s="96">
        <f>IF(F13=0, 1, 1/F13)</f>
        <v>-1</v>
      </c>
      <c r="G15" s="115">
        <v>1</v>
      </c>
      <c r="H15" s="3" t="s">
        <v>111</v>
      </c>
      <c r="I15" s="15">
        <f>E12-E10</f>
        <v>0</v>
      </c>
      <c r="J15" s="101">
        <f>F12-F10</f>
        <v>0</v>
      </c>
      <c r="K15" s="128"/>
    </row>
    <row r="16" spans="3:11" x14ac:dyDescent="0.55000000000000004">
      <c r="C16" s="130">
        <v>1</v>
      </c>
      <c r="D16" s="3" t="s">
        <v>95</v>
      </c>
      <c r="E16" s="9">
        <f>Setup!$H$54</f>
        <v>0</v>
      </c>
      <c r="F16" s="94">
        <f>Setup!$H$54</f>
        <v>0</v>
      </c>
      <c r="G16" s="130">
        <v>1</v>
      </c>
      <c r="H16" s="5" t="s">
        <v>112</v>
      </c>
      <c r="I16" s="10">
        <f>((-1*E17)+E12)-E10</f>
        <v>0</v>
      </c>
      <c r="J16" s="94">
        <f>((-1*F17)+F12)-F10</f>
        <v>0</v>
      </c>
      <c r="K16" s="117"/>
    </row>
    <row r="17" spans="3:12" ht="14.7" thickBot="1" x14ac:dyDescent="0.6">
      <c r="C17" s="121">
        <v>1</v>
      </c>
      <c r="D17" s="12" t="s">
        <v>96</v>
      </c>
      <c r="E17" s="13">
        <f>E16/((1+$E$14)^$E$13)</f>
        <v>0</v>
      </c>
      <c r="F17" s="94">
        <f>F16/((1+$E$14)^$E$13)</f>
        <v>0</v>
      </c>
      <c r="G17" s="130">
        <v>1</v>
      </c>
      <c r="H17" s="20" t="s">
        <v>2</v>
      </c>
      <c r="I17" s="22" t="str">
        <f>IF(AND(I11&gt;0, I12&gt;0, I13&gt;0, I14&gt;0, I15&gt;0, I16&gt;0), $F$19, $F$20)</f>
        <v>NO</v>
      </c>
      <c r="J17" s="55" t="str">
        <f>IF(AND(J13&gt;0, J14&gt;0, J15&gt;0, J16&gt;0), $F$19, $F$20)</f>
        <v>NO</v>
      </c>
    </row>
    <row r="18" spans="3:12" x14ac:dyDescent="0.55000000000000004">
      <c r="D18" s="1"/>
      <c r="G18" s="130">
        <v>1</v>
      </c>
      <c r="H18" s="33" t="s">
        <v>33</v>
      </c>
      <c r="I18" s="74" t="str">
        <f>I17</f>
        <v>NO</v>
      </c>
      <c r="J18" s="55" t="str">
        <f>IF(AND($I$17=$F$19,$J$17=$F$19),$F$19,$F$20)</f>
        <v>NO</v>
      </c>
    </row>
    <row r="19" spans="3:12" x14ac:dyDescent="0.55000000000000004">
      <c r="D19" s="1"/>
      <c r="F19" s="55" t="s">
        <v>3</v>
      </c>
      <c r="G19" s="115">
        <v>1</v>
      </c>
      <c r="H19" s="3" t="s">
        <v>52</v>
      </c>
      <c r="I19" s="29" t="str">
        <f>IF(I18=F19,I11, F21)</f>
        <v>none</v>
      </c>
      <c r="J19" s="94" t="str">
        <f>IF($J$18=$F$19, AVERAGE(I11:J11),$F$21)</f>
        <v>none</v>
      </c>
    </row>
    <row r="20" spans="3:12" ht="14.7" thickBot="1" x14ac:dyDescent="0.6">
      <c r="F20" s="55" t="s">
        <v>4</v>
      </c>
      <c r="G20" s="121">
        <v>1</v>
      </c>
      <c r="H20" s="6" t="s">
        <v>53</v>
      </c>
      <c r="I20" s="148" t="str">
        <f>IF(I18=F19,I12, F21)</f>
        <v>none</v>
      </c>
      <c r="J20" s="94" t="str">
        <f>IF($J$18=$F$19, AVERAGE(I12:J12),$F$21)</f>
        <v>none</v>
      </c>
      <c r="K20" s="116"/>
    </row>
    <row r="21" spans="3:12" ht="14.7" thickBot="1" x14ac:dyDescent="0.6">
      <c r="C21" s="11"/>
      <c r="D21" s="7"/>
      <c r="E21" s="11"/>
      <c r="F21" s="55" t="s">
        <v>20</v>
      </c>
      <c r="G21" s="129"/>
      <c r="H21" s="48"/>
      <c r="I21" s="48"/>
    </row>
    <row r="22" spans="3:12" ht="14.7" thickTop="1" x14ac:dyDescent="0.55000000000000004">
      <c r="E22" s="36"/>
      <c r="F22" s="99"/>
    </row>
    <row r="23" spans="3:12" x14ac:dyDescent="0.55000000000000004">
      <c r="E23" s="3"/>
      <c r="F23" s="99"/>
      <c r="G23" s="102"/>
      <c r="L23" s="116"/>
    </row>
    <row r="24" spans="3:12" x14ac:dyDescent="0.55000000000000004">
      <c r="E24" s="3"/>
    </row>
    <row r="25" spans="3:12" x14ac:dyDescent="0.55000000000000004">
      <c r="E25" s="3"/>
    </row>
    <row r="26" spans="3:12" x14ac:dyDescent="0.55000000000000004">
      <c r="E26" s="3"/>
    </row>
  </sheetData>
  <mergeCells count="2">
    <mergeCell ref="J3:K3"/>
    <mergeCell ref="D1:I1"/>
  </mergeCells>
  <phoneticPr fontId="5" type="noConversion"/>
  <dataValidations count="13">
    <dataValidation allowBlank="1" showInputMessage="1" showErrorMessage="1" prompt="This line calculates the ending value after discounting. It turns a future value into present day value. The calculation uses the discounting equation and combines the ending value before discounting, the real interest rate, and the exponent year. " sqref="C12" xr:uid="{A7B9D0E6-DFC0-47CC-918F-48D0C661AFF3}"/>
    <dataValidation allowBlank="1" showInputMessage="1" showErrorMessage="1" prompt="This line calculates the exponent factor for the compound annual rate of growth. The exponent factor is one divided by the number of years of the project. " sqref="C15" xr:uid="{68723DF6-DB7B-457E-8C6C-4B67692D039D}"/>
    <dataValidation allowBlank="1" showInputMessage="1" showErrorMessage="1" prompt="This line calculates total project costs after discounting. It turns a future value into present day value. The calculation uses the discounting equation and combines total project costs before discounting, the real interest rate, and the exponent year. " sqref="C17" xr:uid="{CA21F92D-4A36-4B5F-9B89-044E0285866B}"/>
    <dataValidation allowBlank="1" showInputMessage="1" showErrorMessage="1" prompt="This line reads the relevant cell from the setup tab." sqref="C7 C8 C10 C11 C13 C14 C16 G10" xr:uid="{2185FE20-4F2C-496A-8753-C4AF16EE8E0C}"/>
    <dataValidation allowBlank="1" showInputMessage="1" showErrorMessage="1" prompt="This line reads the relevant cell from this tab. Income is the net present value. This is the ending value, minus the beginning value, minus the total project costs over the project period. " sqref="G7" xr:uid="{4CD05E2C-6B1C-475D-B8AE-D8084C1D2C71}"/>
    <dataValidation allowBlank="1" showInputMessage="1" showErrorMessage="1" prompt="This line reads the relevant cell from this tab." sqref="G8 G9 G18 G19 G20" xr:uid="{BDEEED96-3C6B-4A36-9930-92466DC21867}"/>
    <dataValidation allowBlank="1" showInputMessage="1" showErrorMessage="1" prompt="This line calculates the profit per credit over the project duration. The calculation divides the income by the carbon credits. The discounted values are used, which reflect present day values. " sqref="G11" xr:uid="{906D1F7A-6422-4C53-9687-572876664988}"/>
    <dataValidation allowBlank="1" showInputMessage="1" showErrorMessage="1" prompt="This line calculates the profit per hectare per year over project duration. The calculation divides the income by the hectares restored, and by the number of years of the project. The discounted values are used, which reflect present day values." sqref="G12" xr:uid="{2D3AA92C-FC15-452E-B3C2-FF8DB6EF8A5C}"/>
    <dataValidation allowBlank="1" showInputMessage="1" showErrorMessage="1" prompt="This line calculates the rate of return in year zero. The calculation is the ending value minus the beginning value, divided by the beginning value, and multiplied by a hundred. " sqref="G13" xr:uid="{14C6EB89-ECED-4BE2-90B5-8C910B531987}"/>
    <dataValidation allowBlank="1" showInputMessage="1" showErrorMessage="1" prompt="This line calculates the annualised growth rate during the duration of project. The calculation divides the ending value by the beginning value, raised to the power of exponent factor, minus one, and times a hundred. " sqref="G14" xr:uid="{6E4FAF31-8552-4C28-99F4-5E074B16E212}"/>
    <dataValidation allowBlank="1" showInputMessage="1" showErrorMessage="1" prompt="This line calculates the gross present value. This is the ending value minus the beginning value over project period. The discounted values are used, which reflect present day values." sqref="G15" xr:uid="{4B3C3D4F-87CD-45F2-8DC9-F880E85956C6}"/>
    <dataValidation allowBlank="1" showInputMessage="1" showErrorMessage="1" prompt="This line calculates the net present value. This is the income that is clear profit.  This is the ending value minus the beginning value, minus total project costs over project period. The discounted values are used, which reflect present day values." sqref="G16" xr:uid="{4AC261B5-2B43-4E7F-BD87-627A4426D5A7}"/>
    <dataValidation allowBlank="1" showInputMessage="1" showErrorMessage="1" prompt="This is a composite indicator. It shows Yes when the rate of return, compound annualised rate of growth, gross present value, and net present value are positive. The profit per credit and per hectare per year must also be positive. " sqref="G17" xr:uid="{C5E00796-48ED-46D7-ADC6-D9AA9A1F6D4E}"/>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1" id="{9883B0DC-9818-4B51-A9D0-3ACF387C9B9D}">
            <x14:iconSet iconSet="3Symbols" custom="1">
              <x14:cfvo type="percent">
                <xm:f>0</xm:f>
              </x14:cfvo>
              <x14:cfvo type="num">
                <xm:f>1</xm:f>
              </x14:cfvo>
              <x14:cfvo type="num" gte="0">
                <xm:f>2</xm:f>
              </x14:cfvo>
              <x14:cfIcon iconSet="NoIcons" iconId="0"/>
              <x14:cfIcon iconSet="3Symbols" iconId="1"/>
              <x14:cfIcon iconSet="NoIcons" iconId="0"/>
            </x14:iconSet>
          </x14:cfRule>
          <xm:sqref>G7:G20 C7:C17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Input</vt:lpstr>
      <vt:lpstr>Assumptions</vt:lpstr>
      <vt:lpstr>Setup</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Konstantinos Tzoulas</dc:creator>
  <cp:lastModifiedBy>niall</cp:lastModifiedBy>
  <dcterms:created xsi:type="dcterms:W3CDTF">2021-06-22T11:29:24Z</dcterms:created>
  <dcterms:modified xsi:type="dcterms:W3CDTF">2023-06-29T22:09:42Z</dcterms:modified>
</cp:coreProperties>
</file>